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wnnas1\userprof$\0006020\デスクトップ\認農関係（早見）\R08申請書\"/>
    </mc:Choice>
  </mc:AlternateContent>
  <xr:revisionPtr revIDLastSave="0" documentId="13_ncr:1_{F7108B34-5979-4E3F-BEE5-740BD5EDA897}" xr6:coauthVersionLast="36" xr6:coauthVersionMax="36" xr10:uidLastSave="{00000000-0000-0000-0000-000000000000}"/>
  <bookViews>
    <workbookView xWindow="-120" yWindow="-120" windowWidth="15480" windowHeight="11160" xr2:uid="{00000000-000D-0000-FFFF-FFFF00000000}"/>
  </bookViews>
  <sheets>
    <sheet name="簡易版" sheetId="1" r:id="rId1"/>
    <sheet name="添付資料" sheetId="2" r:id="rId2"/>
    <sheet name="動態表" sheetId="6" r:id="rId3"/>
    <sheet name="労働時間" sheetId="7" r:id="rId4"/>
  </sheets>
  <definedNames>
    <definedName name="_xlnm.Print_Area" localSheetId="0">簡易版!$B$1:$AI$92</definedName>
    <definedName name="_xlnm.Print_Area" localSheetId="1">添付資料!$B$1:$T$131</definedName>
  </definedNames>
  <calcPr calcId="191029"/>
</workbook>
</file>

<file path=xl/calcChain.xml><?xml version="1.0" encoding="utf-8"?>
<calcChain xmlns="http://schemas.openxmlformats.org/spreadsheetml/2006/main">
  <c r="D13" i="6" l="1"/>
  <c r="O68" i="2" l="1"/>
  <c r="O67" i="2"/>
  <c r="O66" i="2"/>
  <c r="O65" i="2"/>
  <c r="O64" i="2"/>
  <c r="O63" i="2"/>
  <c r="O62" i="2"/>
  <c r="O61" i="2"/>
  <c r="O60" i="2"/>
  <c r="O58" i="2"/>
  <c r="O57" i="2"/>
  <c r="O56" i="2"/>
  <c r="O55" i="2"/>
  <c r="O54" i="2"/>
  <c r="O53" i="2"/>
  <c r="O52" i="2"/>
  <c r="O51" i="2"/>
  <c r="R86" i="2" l="1"/>
  <c r="R85" i="2"/>
  <c r="M86" i="2"/>
  <c r="M85" i="2"/>
  <c r="H65" i="2" l="1"/>
  <c r="H55" i="2"/>
  <c r="S10" i="2"/>
  <c r="Q10" i="2"/>
  <c r="O10" i="2"/>
  <c r="M10" i="2"/>
  <c r="K10" i="2"/>
  <c r="I10" i="2"/>
  <c r="F55" i="2" s="1"/>
  <c r="D19" i="6" l="1"/>
  <c r="E14" i="6" s="1"/>
  <c r="D10" i="6"/>
  <c r="F10" i="6"/>
  <c r="G10" i="6"/>
  <c r="H10" i="6"/>
  <c r="I10" i="6"/>
  <c r="E10" i="6"/>
  <c r="J10" i="6"/>
  <c r="E9" i="6"/>
  <c r="E13" i="6" s="1"/>
  <c r="F9" i="6" s="1"/>
  <c r="F13" i="6" s="1"/>
  <c r="G9" i="6" s="1"/>
  <c r="G13" i="6" s="1"/>
  <c r="H9" i="6" s="1"/>
  <c r="H13" i="6" l="1"/>
  <c r="I9" i="6" s="1"/>
  <c r="I13" i="6" s="1"/>
  <c r="J9" i="6" s="1"/>
  <c r="J13" i="6" s="1"/>
  <c r="P79" i="2"/>
  <c r="R79" i="2"/>
  <c r="M79" i="2"/>
  <c r="K79" i="2"/>
  <c r="AG43" i="1" l="1"/>
  <c r="AE43" i="1"/>
  <c r="AC43" i="1"/>
  <c r="AA43" i="1"/>
  <c r="O39" i="1" l="1"/>
  <c r="K39" i="1"/>
  <c r="C84" i="2" l="1"/>
  <c r="Y28" i="1"/>
  <c r="Y27" i="1"/>
  <c r="Y26" i="1"/>
  <c r="H62" i="2"/>
  <c r="H60" i="2"/>
  <c r="H52" i="2"/>
  <c r="H50" i="2"/>
  <c r="C29" i="1"/>
  <c r="C28" i="1"/>
  <c r="C27" i="1"/>
  <c r="O37" i="1" l="1"/>
  <c r="O43" i="1" s="1"/>
  <c r="K37" i="1"/>
  <c r="K43" i="1" s="1"/>
  <c r="F60" i="2" l="1"/>
  <c r="F57" i="2"/>
  <c r="J27" i="1" l="1"/>
  <c r="S12" i="2"/>
  <c r="S13" i="2" s="1"/>
  <c r="Q12" i="2"/>
  <c r="Q13" i="2" s="1"/>
  <c r="O12" i="2"/>
  <c r="O13" i="2" s="1"/>
  <c r="M12" i="2"/>
  <c r="M13" i="2" s="1"/>
  <c r="K12" i="2"/>
  <c r="K13" i="2" s="1"/>
  <c r="I12" i="2"/>
  <c r="I13" i="2" s="1"/>
  <c r="P86" i="2"/>
  <c r="K86" i="2"/>
  <c r="C86" i="2"/>
  <c r="P85" i="2"/>
  <c r="K85" i="2"/>
  <c r="C85" i="2"/>
  <c r="P84" i="2"/>
  <c r="R84" i="2" s="1"/>
  <c r="R89" i="2" s="1"/>
  <c r="L68" i="2" s="1"/>
  <c r="K84" i="2"/>
  <c r="M84" i="2" s="1"/>
  <c r="M89" i="2" s="1"/>
  <c r="L58" i="2" s="1"/>
  <c r="D66" i="2"/>
  <c r="D65" i="2"/>
  <c r="D64" i="2"/>
  <c r="D63" i="2"/>
  <c r="D62" i="2"/>
  <c r="D61" i="2"/>
  <c r="D60" i="2"/>
  <c r="L67" i="2"/>
  <c r="L69" i="2" s="1"/>
  <c r="F67" i="2"/>
  <c r="F66" i="2"/>
  <c r="H66" i="2" s="1"/>
  <c r="L66" i="2" s="1"/>
  <c r="L65" i="2"/>
  <c r="F65" i="2"/>
  <c r="F64" i="2"/>
  <c r="H64" i="2" s="1"/>
  <c r="L64" i="2" s="1"/>
  <c r="F63" i="2"/>
  <c r="H63" i="2" s="1"/>
  <c r="L63" i="2" s="1"/>
  <c r="F62" i="2"/>
  <c r="F61" i="2"/>
  <c r="J28" i="1" s="1"/>
  <c r="L57" i="2"/>
  <c r="H61" i="2" l="1"/>
  <c r="J29" i="1"/>
  <c r="L60" i="2"/>
  <c r="R60" i="2" s="1"/>
  <c r="L27" i="1"/>
  <c r="R68" i="2"/>
  <c r="R64" i="2"/>
  <c r="R65" i="2"/>
  <c r="R66" i="2"/>
  <c r="R63" i="2"/>
  <c r="R57" i="2"/>
  <c r="R58" i="2"/>
  <c r="R67" i="2" l="1"/>
  <c r="O69" i="2"/>
  <c r="L61" i="2"/>
  <c r="L28" i="1"/>
  <c r="L62" i="2"/>
  <c r="R62" i="2" s="1"/>
  <c r="L29" i="1"/>
  <c r="L55" i="2"/>
  <c r="L56" i="2"/>
  <c r="R56" i="2"/>
  <c r="F56" i="2"/>
  <c r="H53" i="2"/>
  <c r="H54" i="2"/>
  <c r="H56" i="2"/>
  <c r="H51" i="2"/>
  <c r="H28" i="1" s="1"/>
  <c r="F54" i="2"/>
  <c r="F53" i="2"/>
  <c r="F52" i="2"/>
  <c r="L51" i="2"/>
  <c r="F51" i="2"/>
  <c r="F28" i="1" s="1"/>
  <c r="F50" i="2"/>
  <c r="D52" i="2"/>
  <c r="D53" i="2"/>
  <c r="D54" i="2"/>
  <c r="D55" i="2"/>
  <c r="D56" i="2"/>
  <c r="D51" i="2"/>
  <c r="D50" i="2"/>
  <c r="F27" i="1" l="1"/>
  <c r="L53" i="2"/>
  <c r="R61" i="2"/>
  <c r="R69" i="2" s="1"/>
  <c r="F29" i="1"/>
  <c r="H29" i="1"/>
  <c r="L54" i="2"/>
  <c r="R54" i="2"/>
  <c r="R53" i="2"/>
  <c r="R51" i="2"/>
  <c r="L52" i="2" l="1"/>
  <c r="R52" i="2" s="1"/>
  <c r="L50" i="2"/>
  <c r="O50" i="2" s="1"/>
  <c r="H27" i="1"/>
  <c r="R55" i="2"/>
  <c r="D26" i="2"/>
  <c r="L59" i="2" l="1"/>
  <c r="F8" i="6"/>
  <c r="F4" i="6"/>
  <c r="G4" i="6"/>
  <c r="G8" i="6" s="1"/>
  <c r="H4" i="6" s="1"/>
  <c r="H8" i="6" s="1"/>
  <c r="I4" i="6" s="1"/>
  <c r="I8" i="6" s="1"/>
  <c r="J4" i="6" s="1"/>
  <c r="J8" i="6" s="1"/>
  <c r="E8" i="6"/>
  <c r="E4" i="6"/>
  <c r="D8" i="6"/>
  <c r="R50" i="2" l="1"/>
  <c r="R59" i="2" s="1"/>
  <c r="I20" i="1" s="1"/>
  <c r="I21" i="1" s="1"/>
  <c r="O59" i="2"/>
  <c r="AA21" i="1"/>
  <c r="W21" i="1"/>
  <c r="E19" i="6" l="1"/>
  <c r="F14" i="6" l="1"/>
  <c r="F19" i="6" s="1"/>
  <c r="G14" i="6" s="1"/>
  <c r="G19" i="6" s="1"/>
  <c r="O81" i="7"/>
  <c r="N81" i="7"/>
  <c r="M81" i="7"/>
  <c r="L81" i="7"/>
  <c r="K81" i="7"/>
  <c r="J81" i="7"/>
  <c r="I81" i="7"/>
  <c r="H81" i="7"/>
  <c r="G81" i="7"/>
  <c r="F81" i="7"/>
  <c r="E81" i="7"/>
  <c r="D81" i="7"/>
  <c r="O80" i="7"/>
  <c r="N80" i="7"/>
  <c r="M80" i="7"/>
  <c r="L80" i="7"/>
  <c r="K80" i="7"/>
  <c r="J80" i="7"/>
  <c r="I80" i="7"/>
  <c r="H80" i="7"/>
  <c r="G80" i="7"/>
  <c r="F80" i="7"/>
  <c r="E80" i="7"/>
  <c r="D80" i="7"/>
  <c r="L79" i="7"/>
  <c r="J79" i="7"/>
  <c r="I79" i="7"/>
  <c r="H79" i="7"/>
  <c r="G79" i="7"/>
  <c r="F79" i="7"/>
  <c r="L78" i="7"/>
  <c r="K78" i="7"/>
  <c r="P78" i="7" s="1"/>
  <c r="H78" i="7"/>
  <c r="G78" i="7"/>
  <c r="N77" i="7"/>
  <c r="M77" i="7"/>
  <c r="L77" i="7"/>
  <c r="K77" i="7"/>
  <c r="J77" i="7"/>
  <c r="I77" i="7"/>
  <c r="H77" i="7"/>
  <c r="G77" i="7"/>
  <c r="O76" i="7"/>
  <c r="N76" i="7"/>
  <c r="M76" i="7"/>
  <c r="L76" i="7"/>
  <c r="K76" i="7"/>
  <c r="J76" i="7"/>
  <c r="I76" i="7"/>
  <c r="H76" i="7"/>
  <c r="G76" i="7"/>
  <c r="F76" i="7"/>
  <c r="E76" i="7"/>
  <c r="D76" i="7"/>
  <c r="O75" i="7"/>
  <c r="N75" i="7"/>
  <c r="M75" i="7"/>
  <c r="L75" i="7"/>
  <c r="K75" i="7"/>
  <c r="J75" i="7"/>
  <c r="I75" i="7"/>
  <c r="H75" i="7"/>
  <c r="G75" i="7"/>
  <c r="F75" i="7"/>
  <c r="E75" i="7"/>
  <c r="D75" i="7"/>
  <c r="O74" i="7"/>
  <c r="N74" i="7"/>
  <c r="M74" i="7"/>
  <c r="L74" i="7"/>
  <c r="K74" i="7"/>
  <c r="J74" i="7"/>
  <c r="I74" i="7"/>
  <c r="H74" i="7"/>
  <c r="G74" i="7"/>
  <c r="F74" i="7"/>
  <c r="E74" i="7"/>
  <c r="D74" i="7"/>
  <c r="O73" i="7"/>
  <c r="N73" i="7"/>
  <c r="M73" i="7"/>
  <c r="L73" i="7"/>
  <c r="K73" i="7"/>
  <c r="J73" i="7"/>
  <c r="I73" i="7"/>
  <c r="H73" i="7"/>
  <c r="G73" i="7"/>
  <c r="F73" i="7"/>
  <c r="E73" i="7"/>
  <c r="D73" i="7"/>
  <c r="O72" i="7"/>
  <c r="N72" i="7"/>
  <c r="M72" i="7"/>
  <c r="L72" i="7"/>
  <c r="K72" i="7"/>
  <c r="J72" i="7"/>
  <c r="I72" i="7"/>
  <c r="H72" i="7"/>
  <c r="G72" i="7"/>
  <c r="F72" i="7"/>
  <c r="E72" i="7"/>
  <c r="D72" i="7"/>
  <c r="O71" i="7"/>
  <c r="N71" i="7"/>
  <c r="M71" i="7"/>
  <c r="L71" i="7"/>
  <c r="K71" i="7"/>
  <c r="J71" i="7"/>
  <c r="I71" i="7"/>
  <c r="H71" i="7"/>
  <c r="G71" i="7"/>
  <c r="F71" i="7"/>
  <c r="E71" i="7"/>
  <c r="D71" i="7"/>
  <c r="O70" i="7"/>
  <c r="N70" i="7"/>
  <c r="M70" i="7"/>
  <c r="L70" i="7"/>
  <c r="K70" i="7"/>
  <c r="J70" i="7"/>
  <c r="I70" i="7"/>
  <c r="H70" i="7"/>
  <c r="G70" i="7"/>
  <c r="F70" i="7"/>
  <c r="E70" i="7"/>
  <c r="D70" i="7"/>
  <c r="O69" i="7"/>
  <c r="N69" i="7"/>
  <c r="M69" i="7"/>
  <c r="L69" i="7"/>
  <c r="K69" i="7"/>
  <c r="J69" i="7"/>
  <c r="I69" i="7"/>
  <c r="H69" i="7"/>
  <c r="G69" i="7"/>
  <c r="F69" i="7"/>
  <c r="E69" i="7"/>
  <c r="D69" i="7"/>
  <c r="O68" i="7"/>
  <c r="N68" i="7"/>
  <c r="L68" i="7"/>
  <c r="K68" i="7"/>
  <c r="J68" i="7"/>
  <c r="I68" i="7"/>
  <c r="H68" i="7"/>
  <c r="G68" i="7"/>
  <c r="F68" i="7"/>
  <c r="D68" i="7"/>
  <c r="O67" i="7"/>
  <c r="N67" i="7"/>
  <c r="M67" i="7"/>
  <c r="L67" i="7"/>
  <c r="K67" i="7"/>
  <c r="J67" i="7"/>
  <c r="I67" i="7"/>
  <c r="H67" i="7"/>
  <c r="G67" i="7"/>
  <c r="F67" i="7"/>
  <c r="P67" i="7" s="1"/>
  <c r="E67" i="7"/>
  <c r="D67" i="7"/>
  <c r="O66" i="7"/>
  <c r="N66" i="7"/>
  <c r="M66" i="7"/>
  <c r="L66" i="7"/>
  <c r="K66" i="7"/>
  <c r="J66" i="7"/>
  <c r="I66" i="7"/>
  <c r="H66" i="7"/>
  <c r="G66" i="7"/>
  <c r="F66" i="7"/>
  <c r="P66" i="7" s="1"/>
  <c r="E66" i="7"/>
  <c r="D66" i="7"/>
  <c r="L65" i="7"/>
  <c r="K65" i="7"/>
  <c r="J65" i="7"/>
  <c r="I65" i="7"/>
  <c r="H65" i="7"/>
  <c r="G65" i="7"/>
  <c r="O64" i="7"/>
  <c r="N64" i="7"/>
  <c r="M64" i="7"/>
  <c r="K64" i="7"/>
  <c r="I64" i="7"/>
  <c r="H64" i="7"/>
  <c r="G64" i="7"/>
  <c r="F64" i="7"/>
  <c r="E64" i="7"/>
  <c r="D64" i="7"/>
  <c r="P64" i="7" s="1"/>
  <c r="O63" i="7"/>
  <c r="N63" i="7"/>
  <c r="M63" i="7"/>
  <c r="L63" i="7"/>
  <c r="K63" i="7"/>
  <c r="K62" i="7"/>
  <c r="J62" i="7"/>
  <c r="I62" i="7"/>
  <c r="H62" i="7"/>
  <c r="G62" i="7"/>
  <c r="F62" i="7"/>
  <c r="P62" i="7" s="1"/>
  <c r="O61" i="7"/>
  <c r="N61" i="7"/>
  <c r="M61" i="7"/>
  <c r="K61" i="7"/>
  <c r="J61" i="7"/>
  <c r="I61" i="7"/>
  <c r="H61" i="7"/>
  <c r="G61" i="7"/>
  <c r="F61" i="7"/>
  <c r="E61" i="7"/>
  <c r="D61" i="7"/>
  <c r="P61" i="7" s="1"/>
  <c r="N60" i="7"/>
  <c r="M60" i="7"/>
  <c r="L60" i="7"/>
  <c r="K60" i="7"/>
  <c r="J60" i="7"/>
  <c r="I60" i="7"/>
  <c r="H60" i="7"/>
  <c r="N59" i="7"/>
  <c r="M59" i="7"/>
  <c r="L59" i="7"/>
  <c r="K59" i="7"/>
  <c r="J59" i="7"/>
  <c r="I59" i="7"/>
  <c r="H59" i="7"/>
  <c r="G59" i="7"/>
  <c r="P59" i="7" s="1"/>
  <c r="O58" i="7"/>
  <c r="N58" i="7"/>
  <c r="M58" i="7"/>
  <c r="L58" i="7"/>
  <c r="K58" i="7"/>
  <c r="J58" i="7"/>
  <c r="I58" i="7"/>
  <c r="H58" i="7"/>
  <c r="G58" i="7"/>
  <c r="F58" i="7"/>
  <c r="E58" i="7"/>
  <c r="D58" i="7"/>
  <c r="O57" i="7"/>
  <c r="N57" i="7"/>
  <c r="M57" i="7"/>
  <c r="L57" i="7"/>
  <c r="J57" i="7"/>
  <c r="I57" i="7"/>
  <c r="H57" i="7"/>
  <c r="G57" i="7"/>
  <c r="F57" i="7"/>
  <c r="E57" i="7"/>
  <c r="D57" i="7"/>
  <c r="O56" i="7"/>
  <c r="N56" i="7"/>
  <c r="M56" i="7"/>
  <c r="L56" i="7"/>
  <c r="K56" i="7"/>
  <c r="J56" i="7"/>
  <c r="E56" i="7"/>
  <c r="D56" i="7"/>
  <c r="O55" i="7"/>
  <c r="N55" i="7"/>
  <c r="M55" i="7"/>
  <c r="L55" i="7"/>
  <c r="K55" i="7"/>
  <c r="J55" i="7"/>
  <c r="I55" i="7"/>
  <c r="H55" i="7"/>
  <c r="G55" i="7"/>
  <c r="F55" i="7"/>
  <c r="E55" i="7"/>
  <c r="D55" i="7"/>
  <c r="P54" i="7"/>
  <c r="P53" i="7"/>
  <c r="L52" i="7"/>
  <c r="K52" i="7"/>
  <c r="J52" i="7"/>
  <c r="I52" i="7"/>
  <c r="H52" i="7"/>
  <c r="G52" i="7"/>
  <c r="M51" i="7"/>
  <c r="L51" i="7"/>
  <c r="K51" i="7"/>
  <c r="J51" i="7"/>
  <c r="I51" i="7"/>
  <c r="H51" i="7"/>
  <c r="G51" i="7"/>
  <c r="F51" i="7"/>
  <c r="K50" i="7"/>
  <c r="J50" i="7"/>
  <c r="I50" i="7"/>
  <c r="H50" i="7"/>
  <c r="G50" i="7"/>
  <c r="L49" i="7"/>
  <c r="K49" i="7"/>
  <c r="J49" i="7"/>
  <c r="P49" i="7" s="1"/>
  <c r="I49" i="7"/>
  <c r="H49" i="7"/>
  <c r="N48" i="7"/>
  <c r="M48" i="7"/>
  <c r="L48" i="7"/>
  <c r="K48" i="7"/>
  <c r="J48" i="7"/>
  <c r="I48" i="7"/>
  <c r="H48" i="7"/>
  <c r="N47" i="7"/>
  <c r="M47" i="7"/>
  <c r="L47" i="7"/>
  <c r="K47" i="7"/>
  <c r="J47" i="7"/>
  <c r="I47" i="7"/>
  <c r="H47" i="7"/>
  <c r="G47" i="7"/>
  <c r="D47" i="7"/>
  <c r="P47" i="7" s="1"/>
  <c r="M46" i="7"/>
  <c r="L46" i="7"/>
  <c r="K46" i="7"/>
  <c r="J46" i="7"/>
  <c r="I46" i="7"/>
  <c r="H46" i="7"/>
  <c r="G46" i="7"/>
  <c r="F46" i="7"/>
  <c r="D46" i="7"/>
  <c r="J45" i="7"/>
  <c r="I45" i="7"/>
  <c r="H45" i="7"/>
  <c r="I44" i="7"/>
  <c r="H44" i="7"/>
  <c r="G44" i="7"/>
  <c r="K43" i="7"/>
  <c r="J43" i="7"/>
  <c r="I43" i="7"/>
  <c r="P43" i="7" s="1"/>
  <c r="N42" i="7"/>
  <c r="M42" i="7"/>
  <c r="L42" i="7"/>
  <c r="K42" i="7"/>
  <c r="P42" i="7" s="1"/>
  <c r="P41" i="7"/>
  <c r="O40" i="7"/>
  <c r="N40" i="7"/>
  <c r="M40" i="7"/>
  <c r="L40" i="7"/>
  <c r="F40" i="7"/>
  <c r="E40" i="7"/>
  <c r="D40" i="7"/>
  <c r="N39" i="7"/>
  <c r="M39" i="7"/>
  <c r="L39" i="7"/>
  <c r="K39" i="7"/>
  <c r="J39" i="7"/>
  <c r="I39" i="7"/>
  <c r="H39" i="7"/>
  <c r="G39" i="7"/>
  <c r="P39" i="7" s="1"/>
  <c r="M38" i="7"/>
  <c r="L38" i="7"/>
  <c r="K38" i="7"/>
  <c r="J38" i="7"/>
  <c r="I38" i="7"/>
  <c r="H38" i="7"/>
  <c r="G38" i="7"/>
  <c r="F38" i="7"/>
  <c r="N37" i="7"/>
  <c r="M37" i="7"/>
  <c r="L37" i="7"/>
  <c r="K37" i="7"/>
  <c r="J37" i="7"/>
  <c r="G37" i="7"/>
  <c r="N36" i="7"/>
  <c r="M36" i="7"/>
  <c r="L36" i="7"/>
  <c r="K36" i="7"/>
  <c r="J36" i="7"/>
  <c r="I36" i="7"/>
  <c r="H36" i="7"/>
  <c r="G36" i="7"/>
  <c r="F36" i="7"/>
  <c r="E36" i="7"/>
  <c r="D36" i="7"/>
  <c r="N35" i="7"/>
  <c r="M35" i="7"/>
  <c r="L35" i="7"/>
  <c r="K35" i="7"/>
  <c r="J35" i="7"/>
  <c r="I35" i="7"/>
  <c r="H35" i="7"/>
  <c r="G35" i="7"/>
  <c r="F35" i="7"/>
  <c r="E35" i="7"/>
  <c r="O34" i="7"/>
  <c r="J34" i="7"/>
  <c r="I34" i="7"/>
  <c r="H34" i="7"/>
  <c r="G34" i="7"/>
  <c r="F34" i="7"/>
  <c r="E34" i="7"/>
  <c r="D34" i="7"/>
  <c r="N33" i="7"/>
  <c r="M33" i="7"/>
  <c r="L33" i="7"/>
  <c r="K33" i="7"/>
  <c r="J33" i="7"/>
  <c r="G33" i="7"/>
  <c r="M32" i="7"/>
  <c r="L32" i="7"/>
  <c r="K32" i="7"/>
  <c r="J32" i="7"/>
  <c r="I32" i="7"/>
  <c r="H32" i="7"/>
  <c r="G32" i="7"/>
  <c r="O31" i="7"/>
  <c r="N31" i="7"/>
  <c r="M31" i="7"/>
  <c r="L31" i="7"/>
  <c r="K31" i="7"/>
  <c r="J31" i="7"/>
  <c r="I31" i="7"/>
  <c r="H31" i="7"/>
  <c r="G31" i="7"/>
  <c r="F31" i="7"/>
  <c r="N30" i="7"/>
  <c r="L30" i="7"/>
  <c r="K30" i="7"/>
  <c r="J30" i="7"/>
  <c r="I30" i="7"/>
  <c r="H30" i="7"/>
  <c r="G30" i="7"/>
  <c r="F30" i="7"/>
  <c r="N29" i="7"/>
  <c r="M29" i="7"/>
  <c r="L29" i="7"/>
  <c r="I29" i="7"/>
  <c r="H29" i="7"/>
  <c r="G29" i="7"/>
  <c r="M28" i="7"/>
  <c r="L28" i="7"/>
  <c r="K28" i="7"/>
  <c r="J28" i="7"/>
  <c r="I28" i="7"/>
  <c r="J27" i="7"/>
  <c r="I27" i="7"/>
  <c r="H27" i="7"/>
  <c r="G27" i="7"/>
  <c r="F27" i="7"/>
  <c r="E27" i="7"/>
  <c r="N26" i="7"/>
  <c r="M26" i="7"/>
  <c r="L26" i="7"/>
  <c r="K26" i="7"/>
  <c r="J26" i="7"/>
  <c r="J25" i="7"/>
  <c r="I25" i="7"/>
  <c r="H25" i="7"/>
  <c r="G25" i="7"/>
  <c r="O24" i="7"/>
  <c r="N24" i="7"/>
  <c r="M24" i="7"/>
  <c r="L24" i="7"/>
  <c r="K24" i="7"/>
  <c r="J24" i="7"/>
  <c r="I24" i="7"/>
  <c r="H24" i="7"/>
  <c r="G24" i="7"/>
  <c r="F24" i="7"/>
  <c r="L23" i="7"/>
  <c r="K23" i="7"/>
  <c r="J23" i="7"/>
  <c r="I23" i="7"/>
  <c r="H23" i="7"/>
  <c r="G23" i="7"/>
  <c r="F23" i="7"/>
  <c r="E23" i="7"/>
  <c r="D23" i="7"/>
  <c r="O22" i="7"/>
  <c r="N22" i="7"/>
  <c r="F22" i="7"/>
  <c r="E22" i="7"/>
  <c r="D22" i="7"/>
  <c r="L21" i="7"/>
  <c r="K21" i="7"/>
  <c r="P21" i="7" s="1"/>
  <c r="L20" i="7"/>
  <c r="I20" i="7"/>
  <c r="P20" i="7" s="1"/>
  <c r="H20" i="7"/>
  <c r="H19" i="7"/>
  <c r="G19" i="7"/>
  <c r="F19" i="7"/>
  <c r="P19" i="7" s="1"/>
  <c r="N18" i="7"/>
  <c r="M18" i="7"/>
  <c r="L18" i="7"/>
  <c r="K18" i="7"/>
  <c r="K17" i="7"/>
  <c r="J17" i="7"/>
  <c r="I17" i="7"/>
  <c r="P17" i="7" s="1"/>
  <c r="H16" i="7"/>
  <c r="G16" i="7"/>
  <c r="F16" i="7"/>
  <c r="E16" i="7"/>
  <c r="P16" i="7" s="1"/>
  <c r="I15" i="7"/>
  <c r="H15" i="7"/>
  <c r="G15" i="7"/>
  <c r="F15" i="7"/>
  <c r="E15" i="7"/>
  <c r="O14" i="7"/>
  <c r="N14" i="7"/>
  <c r="M14" i="7"/>
  <c r="L14" i="7"/>
  <c r="K14" i="7"/>
  <c r="J14" i="7"/>
  <c r="F14" i="7"/>
  <c r="N13" i="7"/>
  <c r="M13" i="7"/>
  <c r="L13" i="7"/>
  <c r="K13" i="7"/>
  <c r="J13" i="7"/>
  <c r="L12" i="7"/>
  <c r="K12" i="7"/>
  <c r="J12" i="7"/>
  <c r="I12" i="7"/>
  <c r="H12" i="7"/>
  <c r="G12" i="7"/>
  <c r="O11" i="7"/>
  <c r="N11" i="7"/>
  <c r="M11" i="7"/>
  <c r="K11" i="7"/>
  <c r="J11" i="7"/>
  <c r="I11" i="7"/>
  <c r="H11" i="7"/>
  <c r="G11" i="7"/>
  <c r="F11" i="7"/>
  <c r="E11" i="7"/>
  <c r="D11" i="7"/>
  <c r="K10" i="7"/>
  <c r="J10" i="7"/>
  <c r="P10" i="7" s="1"/>
  <c r="M9" i="7"/>
  <c r="L9" i="7"/>
  <c r="J9" i="7"/>
  <c r="I9" i="7"/>
  <c r="G9" i="7"/>
  <c r="F9" i="7"/>
  <c r="P9" i="7" s="1"/>
  <c r="O8" i="7"/>
  <c r="N8" i="7"/>
  <c r="M8" i="7"/>
  <c r="L8" i="7"/>
  <c r="K8" i="7"/>
  <c r="J8" i="7"/>
  <c r="P8" i="7" s="1"/>
  <c r="I8" i="7"/>
  <c r="H8" i="7"/>
  <c r="M7" i="7"/>
  <c r="L7" i="7"/>
  <c r="K7" i="7"/>
  <c r="J7" i="7"/>
  <c r="I7" i="7"/>
  <c r="M6" i="7"/>
  <c r="L6" i="7"/>
  <c r="I6" i="7"/>
  <c r="H6" i="7"/>
  <c r="G6" i="7"/>
  <c r="F6" i="7"/>
  <c r="O5" i="7"/>
  <c r="N5" i="7"/>
  <c r="M5" i="7"/>
  <c r="L5" i="7"/>
  <c r="K5" i="7"/>
  <c r="J5" i="7"/>
  <c r="I5" i="7"/>
  <c r="H5" i="7"/>
  <c r="G5" i="7"/>
  <c r="F5" i="7"/>
  <c r="E5" i="7"/>
  <c r="D5" i="7"/>
  <c r="N4" i="7"/>
  <c r="M4" i="7"/>
  <c r="L4" i="7"/>
  <c r="K4" i="7"/>
  <c r="J4" i="7"/>
  <c r="I4" i="7"/>
  <c r="H4" i="7"/>
  <c r="G4" i="7"/>
  <c r="F4" i="7"/>
  <c r="O3" i="7"/>
  <c r="N3" i="7"/>
  <c r="M3" i="7"/>
  <c r="L3" i="7"/>
  <c r="K3" i="7"/>
  <c r="J3" i="7"/>
  <c r="I3" i="7"/>
  <c r="H3" i="7"/>
  <c r="G3" i="7"/>
  <c r="F3" i="7"/>
  <c r="H14" i="6" l="1"/>
  <c r="H19" i="6" s="1"/>
  <c r="P5" i="7"/>
  <c r="P14" i="7"/>
  <c r="P24" i="7"/>
  <c r="P37" i="7"/>
  <c r="P38" i="7"/>
  <c r="P45" i="7"/>
  <c r="P50" i="7"/>
  <c r="P63" i="7"/>
  <c r="P4" i="7"/>
  <c r="P7" i="7"/>
  <c r="P13" i="7"/>
  <c r="P15" i="7"/>
  <c r="P28" i="7"/>
  <c r="P30" i="7"/>
  <c r="P32" i="7"/>
  <c r="P33" i="7"/>
  <c r="P34" i="7"/>
  <c r="P36" i="7"/>
  <c r="P60" i="7"/>
  <c r="P73" i="7"/>
  <c r="P75" i="7"/>
  <c r="P76" i="7"/>
  <c r="P11" i="7"/>
  <c r="P12" i="7"/>
  <c r="P22" i="7"/>
  <c r="P27" i="7"/>
  <c r="P29" i="7"/>
  <c r="P31" i="7"/>
  <c r="P40" i="7"/>
  <c r="P46" i="7"/>
  <c r="P48" i="7"/>
  <c r="P51" i="7"/>
  <c r="P55" i="7"/>
  <c r="P56" i="7"/>
  <c r="P57" i="7"/>
  <c r="P58" i="7"/>
  <c r="P69" i="7"/>
  <c r="P71" i="7"/>
  <c r="P77" i="7"/>
  <c r="P79" i="7"/>
  <c r="P81" i="7"/>
  <c r="P3" i="7"/>
  <c r="P18" i="7"/>
  <c r="P23" i="7"/>
  <c r="P26" i="7"/>
  <c r="P35" i="7"/>
  <c r="P44" i="7"/>
  <c r="P65" i="7"/>
  <c r="P68" i="7"/>
  <c r="P70" i="7"/>
  <c r="P72" i="7"/>
  <c r="P74" i="7"/>
  <c r="P80" i="7"/>
  <c r="P6" i="7"/>
  <c r="P25" i="7"/>
  <c r="P52" i="7"/>
  <c r="D42" i="2"/>
  <c r="D38" i="2"/>
  <c r="D39" i="2"/>
  <c r="D40" i="2"/>
  <c r="D41" i="2"/>
  <c r="D37" i="2"/>
  <c r="D36" i="2"/>
  <c r="D32" i="2"/>
  <c r="D28" i="2"/>
  <c r="D29" i="2"/>
  <c r="D30" i="2"/>
  <c r="D31" i="2"/>
  <c r="D27" i="2"/>
  <c r="I22" i="2"/>
  <c r="I14" i="6" l="1"/>
  <c r="I19" i="6" s="1"/>
  <c r="J14" i="6" s="1"/>
  <c r="J19" i="6" s="1"/>
  <c r="O114" i="2"/>
  <c r="K114" i="2"/>
  <c r="N100" i="2"/>
  <c r="R45" i="2"/>
  <c r="Q45" i="2"/>
  <c r="P45" i="2"/>
  <c r="O45" i="2"/>
  <c r="N45" i="2"/>
  <c r="M45" i="2"/>
  <c r="L45" i="2"/>
  <c r="K45" i="2"/>
  <c r="J45" i="2"/>
  <c r="I45" i="2"/>
  <c r="H45" i="2"/>
  <c r="G45" i="2"/>
  <c r="S44" i="2"/>
  <c r="S43" i="2"/>
  <c r="S42" i="2"/>
  <c r="S41" i="2"/>
  <c r="S40" i="2"/>
  <c r="S39" i="2"/>
  <c r="S38" i="2"/>
  <c r="S37" i="2"/>
  <c r="S36" i="2"/>
  <c r="R35" i="2"/>
  <c r="Q35" i="2"/>
  <c r="P35" i="2"/>
  <c r="O35" i="2"/>
  <c r="N35" i="2"/>
  <c r="M35" i="2"/>
  <c r="L35" i="2"/>
  <c r="K35" i="2"/>
  <c r="J35" i="2"/>
  <c r="I35" i="2"/>
  <c r="H35" i="2"/>
  <c r="G35" i="2"/>
  <c r="S34" i="2"/>
  <c r="S33" i="2"/>
  <c r="S32" i="2"/>
  <c r="S31" i="2"/>
  <c r="S30" i="2"/>
  <c r="S29" i="2"/>
  <c r="S28" i="2"/>
  <c r="S27" i="2"/>
  <c r="S26" i="2"/>
  <c r="Q22" i="2"/>
  <c r="O22" i="2"/>
  <c r="M22" i="2"/>
  <c r="K22" i="2"/>
  <c r="S22" i="2"/>
  <c r="S45" i="2" l="1"/>
  <c r="AA20" i="1" s="1"/>
  <c r="S35" i="2"/>
  <c r="W20" i="1" s="1"/>
  <c r="M20" i="1" l="1"/>
  <c r="M21" i="1" s="1"/>
</calcChain>
</file>

<file path=xl/sharedStrings.xml><?xml version="1.0" encoding="utf-8"?>
<sst xmlns="http://schemas.openxmlformats.org/spreadsheetml/2006/main" count="475" uniqueCount="356">
  <si>
    <t>農業経営改善計画認定申請書</t>
  </si>
  <si>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</si>
  <si>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</si>
  <si>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</si>
  <si>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</si>
  <si>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</si>
  <si>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</si>
  <si>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</si>
  <si>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</si>
  <si>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</si>
  <si>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</si>
  <si>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</si>
  <si>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</si>
  <si>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</si>
  <si>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</si>
  <si>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</si>
  <si>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</si>
  <si>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</si>
  <si>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</si>
  <si>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</si>
  <si>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種　別</t>
    <rPh sb="0" eb="1">
      <t>シュ</t>
    </rPh>
    <rPh sb="2" eb="3">
      <t>ベツ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</si>
  <si>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</si>
  <si>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</si>
  <si>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</si>
  <si>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万円</t>
    <rPh sb="0" eb="2">
      <t>マンエン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</si>
  <si>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</si>
  <si>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</si>
  <si>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</si>
  <si>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</si>
  <si>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</si>
  <si>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</si>
  <si>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</si>
  <si>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</si>
  <si>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</si>
  <si>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</si>
  <si>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</si>
  <si>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</si>
  <si>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</si>
  <si>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</si>
  <si>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</si>
  <si>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</si>
  <si>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</si>
  <si>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</si>
  <si>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</si>
  <si>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</si>
  <si>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</si>
  <si>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</si>
  <si>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</si>
  <si>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</si>
  <si>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</si>
  <si>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</si>
  <si>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</si>
  <si>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</si>
  <si>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</si>
  <si>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</si>
  <si>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</si>
  <si>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</si>
  <si>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</si>
  <si>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</si>
  <si>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</si>
  <si>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</si>
  <si>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</si>
  <si>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</si>
  <si>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</si>
  <si>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</si>
  <si>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</si>
  <si>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④　経営管理の合理化に関する現状と目標・措置</t>
    <phoneticPr fontId="2"/>
  </si>
  <si>
    <t>⑤　農業従事の態様の改善に関する現状と目標・措置</t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</si>
  <si>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</si>
  <si>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</si>
  <si>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</si>
  <si>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</si>
  <si>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</si>
  <si>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</si>
  <si>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</si>
  <si>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</si>
  <si>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</si>
  <si>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</si>
  <si>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</si>
  <si>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</si>
  <si>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</si>
  <si>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</si>
  <si>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</si>
  <si>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</si>
  <si>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</si>
  <si>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川西町長  殿</t>
    <rPh sb="0" eb="2">
      <t>カワニシ</t>
    </rPh>
    <phoneticPr fontId="2"/>
  </si>
  <si>
    <t>山形県知事  殿</t>
    <rPh sb="0" eb="2">
      <t>ヤマガタ</t>
    </rPh>
    <phoneticPr fontId="2"/>
  </si>
  <si>
    <t>令和　　年    月    日</t>
    <rPh sb="0" eb="2">
      <t>レイワ</t>
    </rPh>
    <phoneticPr fontId="2"/>
  </si>
  <si>
    <t>（添付資料）</t>
  </si>
  <si>
    <t>１．規模拡大に伴う年次計画　　　　　　　　　　　　　　　　　　　　（単位　：　ａ・頭羽）</t>
  </si>
  <si>
    <t>（単位　：　a）</t>
    <phoneticPr fontId="2"/>
  </si>
  <si>
    <t>主要作目･部門別の　拡大計画</t>
    <rPh sb="5" eb="7">
      <t>ブモン</t>
    </rPh>
    <rPh sb="7" eb="8">
      <t>ベツ</t>
    </rPh>
    <rPh sb="10" eb="12">
      <t>カクダイ</t>
    </rPh>
    <rPh sb="12" eb="14">
      <t>ケイカク</t>
    </rPh>
    <phoneticPr fontId="2"/>
  </si>
  <si>
    <t>作業受託</t>
    <phoneticPr fontId="2"/>
  </si>
  <si>
    <t>経営耕地　面積の拡大</t>
    <rPh sb="5" eb="7">
      <t>メンセキ</t>
    </rPh>
    <rPh sb="8" eb="10">
      <t>カクダイ</t>
    </rPh>
    <phoneticPr fontId="2"/>
  </si>
  <si>
    <t>水田の購入</t>
  </si>
  <si>
    <t>借地（利用権の設定）</t>
  </si>
  <si>
    <t>自　作　地</t>
  </si>
  <si>
    <t>合　　　計</t>
  </si>
  <si>
    <t>２．労働計画　　　　　　　　　　　　　　　　　　　　　　　　　　　　　　（単位　：　時間）</t>
  </si>
  <si>
    <t>（単位　：　時間）</t>
    <rPh sb="6" eb="8">
      <t>ジカン</t>
    </rPh>
    <phoneticPr fontId="2"/>
  </si>
  <si>
    <t>計</t>
  </si>
  <si>
    <t>現　　　　状</t>
  </si>
  <si>
    <t>特定作業受託</t>
    <rPh sb="0" eb="2">
      <t>トクテイ</t>
    </rPh>
    <phoneticPr fontId="2"/>
  </si>
  <si>
    <t>目　　　　標</t>
  </si>
  <si>
    <t>３．所得計画　　　　　　　　　　　　　　　　　　　　　　　　（単位　：　ａ・頭羽・kg・円）</t>
    <phoneticPr fontId="2"/>
  </si>
  <si>
    <t xml:space="preserve">  （単位　：　ａ・頭羽・kg・円）</t>
    <phoneticPr fontId="2"/>
  </si>
  <si>
    <t>作　　目</t>
  </si>
  <si>
    <t>作付面積(a)</t>
    <phoneticPr fontId="2"/>
  </si>
  <si>
    <t>生産量</t>
  </si>
  <si>
    <t>単価</t>
  </si>
  <si>
    <t>粗収入</t>
  </si>
  <si>
    <t>経営費</t>
  </si>
  <si>
    <t>所得額</t>
  </si>
  <si>
    <t>飼養頭数(頭)</t>
    <rPh sb="2" eb="4">
      <t>トウスウ</t>
    </rPh>
    <rPh sb="5" eb="6">
      <t>トウ</t>
    </rPh>
    <phoneticPr fontId="2"/>
  </si>
  <si>
    <t>（kg・頭羽・本）</t>
    <rPh sb="7" eb="8">
      <t>ホン</t>
    </rPh>
    <phoneticPr fontId="2"/>
  </si>
  <si>
    <t>（円）</t>
  </si>
  <si>
    <t>現　　　　状</t>
    <phoneticPr fontId="2"/>
  </si>
  <si>
    <t>特定作業受託</t>
    <rPh sb="4" eb="6">
      <t>ジュタク</t>
    </rPh>
    <phoneticPr fontId="2"/>
  </si>
  <si>
    <t>作業受託</t>
  </si>
  <si>
    <t>４．特定作業受託料金　</t>
    <rPh sb="2" eb="4">
      <t>トクテイ</t>
    </rPh>
    <phoneticPr fontId="2"/>
  </si>
  <si>
    <t>（単位　：　a・円）</t>
    <phoneticPr fontId="2"/>
  </si>
  <si>
    <t>項　　　目</t>
  </si>
  <si>
    <t>単　位</t>
  </si>
  <si>
    <t>単　価</t>
  </si>
  <si>
    <t>現　　　状</t>
  </si>
  <si>
    <t>目　　　標</t>
  </si>
  <si>
    <t>面積等</t>
  </si>
  <si>
    <t>受託料金</t>
  </si>
  <si>
    <t>５．作業受託料金　</t>
    <phoneticPr fontId="2"/>
  </si>
  <si>
    <t>（単位　：　円）</t>
  </si>
  <si>
    <t>単　価</t>
    <phoneticPr fontId="2"/>
  </si>
  <si>
    <t>６．資金需要計画</t>
  </si>
  <si>
    <t>資　金　名</t>
  </si>
  <si>
    <t>実施年</t>
  </si>
  <si>
    <t>資金使途</t>
  </si>
  <si>
    <t>借入予定額</t>
  </si>
  <si>
    <t>備　　考</t>
  </si>
  <si>
    <t>円</t>
    <rPh sb="0" eb="1">
      <t>エン</t>
    </rPh>
    <phoneticPr fontId="2"/>
  </si>
  <si>
    <t>年</t>
  </si>
  <si>
    <t>（単位　：　円・％）</t>
  </si>
  <si>
    <t>資金名</t>
  </si>
  <si>
    <t>借入先</t>
  </si>
  <si>
    <t>貸付年月日</t>
  </si>
  <si>
    <t>年賦償還額（利子含）</t>
  </si>
  <si>
    <t>返済期日</t>
  </si>
  <si>
    <t>借入金残高</t>
  </si>
  <si>
    <t>利率</t>
  </si>
  <si>
    <t>備　考</t>
  </si>
  <si>
    <t>・　・</t>
  </si>
  <si>
    <t>項目</t>
    <rPh sb="0" eb="2">
      <t>コウモク</t>
    </rPh>
    <phoneticPr fontId="2"/>
  </si>
  <si>
    <t>経営所得安定対策加入</t>
    <rPh sb="0" eb="2">
      <t>ケイエイ</t>
    </rPh>
    <rPh sb="2" eb="4">
      <t>ショトク</t>
    </rPh>
    <rPh sb="4" eb="6">
      <t>アンテイ</t>
    </rPh>
    <rPh sb="6" eb="8">
      <t>タイサク</t>
    </rPh>
    <rPh sb="8" eb="10">
      <t>カニュウ</t>
    </rPh>
    <phoneticPr fontId="2"/>
  </si>
  <si>
    <t>とも補償加入</t>
  </si>
  <si>
    <t>年度</t>
    <rPh sb="0" eb="2">
      <t>ネンド</t>
    </rPh>
    <phoneticPr fontId="2"/>
  </si>
  <si>
    <t>水田活用の直接支払</t>
    <rPh sb="0" eb="2">
      <t>スイデン</t>
    </rPh>
    <rPh sb="2" eb="4">
      <t>カツヨウ</t>
    </rPh>
    <rPh sb="5" eb="7">
      <t>チョクセツ</t>
    </rPh>
    <rPh sb="7" eb="9">
      <t>シハライ</t>
    </rPh>
    <phoneticPr fontId="2"/>
  </si>
  <si>
    <t>昨年度</t>
  </si>
  <si>
    <t>有　・　無</t>
    <rPh sb="0" eb="1">
      <t>ア</t>
    </rPh>
    <rPh sb="4" eb="5">
      <t>ム</t>
    </rPh>
    <phoneticPr fontId="2"/>
  </si>
  <si>
    <t>本年度</t>
  </si>
  <si>
    <t>（　　　.　　　位置づけ予定）</t>
    <rPh sb="8" eb="10">
      <t>イチ</t>
    </rPh>
    <rPh sb="12" eb="14">
      <t>ヨテイ</t>
    </rPh>
    <phoneticPr fontId="2"/>
  </si>
  <si>
    <t>畑作物直接支払 (ゲタ対策）</t>
    <rPh sb="0" eb="3">
      <t>ハタサクモツ</t>
    </rPh>
    <rPh sb="3" eb="5">
      <t>チョクセツ</t>
    </rPh>
    <rPh sb="5" eb="7">
      <t>シハライ</t>
    </rPh>
    <rPh sb="11" eb="13">
      <t>タイサク</t>
    </rPh>
    <phoneticPr fontId="2"/>
  </si>
  <si>
    <r>
      <t xml:space="preserve">収入減少影響緩和対策加入 </t>
    </r>
    <r>
      <rPr>
        <sz val="9"/>
        <rFont val="ＭＳ Ｐ明朝"/>
        <family val="1"/>
        <charset val="128"/>
      </rPr>
      <t>(ナラシ対策）</t>
    </r>
    <rPh sb="0" eb="2">
      <t>シュウニュウ</t>
    </rPh>
    <rPh sb="2" eb="4">
      <t>ゲンショウ</t>
    </rPh>
    <rPh sb="4" eb="6">
      <t>エイキョウ</t>
    </rPh>
    <rPh sb="6" eb="7">
      <t>カン</t>
    </rPh>
    <rPh sb="7" eb="8">
      <t>ワ</t>
    </rPh>
    <rPh sb="8" eb="10">
      <t>タイサク</t>
    </rPh>
    <rPh sb="10" eb="12">
      <t>カニュウ</t>
    </rPh>
    <rPh sb="17" eb="19">
      <t>タイサク</t>
    </rPh>
    <phoneticPr fontId="2"/>
  </si>
  <si>
    <t>年</t>
    <phoneticPr fontId="2"/>
  </si>
  <si>
    <t>年</t>
    <phoneticPr fontId="2"/>
  </si>
  <si>
    <t>年</t>
    <rPh sb="0" eb="1">
      <t>ネン</t>
    </rPh>
    <phoneticPr fontId="2"/>
  </si>
  <si>
    <t>項目　 　　　　　　　　　　　　      　月</t>
    <phoneticPr fontId="2"/>
  </si>
  <si>
    <t>項目 　　 　　　　 　　　　　　　　　　　　　　　　　　　　年次</t>
    <phoneticPr fontId="2"/>
  </si>
  <si>
    <t>区　　　　　　分</t>
    <rPh sb="0" eb="1">
      <t>ク</t>
    </rPh>
    <rPh sb="7" eb="8">
      <t>ブン</t>
    </rPh>
    <phoneticPr fontId="2"/>
  </si>
  <si>
    <t>前 年</t>
    <rPh sb="0" eb="1">
      <t>マエ</t>
    </rPh>
    <rPh sb="2" eb="3">
      <t>トシ</t>
    </rPh>
    <phoneticPr fontId="2"/>
  </si>
  <si>
    <t>現 状</t>
    <rPh sb="0" eb="1">
      <t>ウツツ</t>
    </rPh>
    <rPh sb="2" eb="3">
      <t>ジョウ</t>
    </rPh>
    <phoneticPr fontId="2"/>
  </si>
  <si>
    <t>計　　　　　　画</t>
    <rPh sb="0" eb="1">
      <t>ケイ</t>
    </rPh>
    <rPh sb="7" eb="8">
      <t>ガ</t>
    </rPh>
    <phoneticPr fontId="2"/>
  </si>
  <si>
    <t>備　　　　　考</t>
    <rPh sb="0" eb="1">
      <t>ソナエ</t>
    </rPh>
    <rPh sb="6" eb="7">
      <t>コウ</t>
    </rPh>
    <phoneticPr fontId="2"/>
  </si>
  <si>
    <t>肥　育　牛</t>
    <rPh sb="0" eb="1">
      <t>コエ</t>
    </rPh>
    <rPh sb="2" eb="3">
      <t>イク</t>
    </rPh>
    <rPh sb="4" eb="5">
      <t>ウシ</t>
    </rPh>
    <phoneticPr fontId="2"/>
  </si>
  <si>
    <t>前年度からの頭数　　①</t>
    <rPh sb="0" eb="3">
      <t>ゼンネンド</t>
    </rPh>
    <rPh sb="6" eb="8">
      <t>トウスウ</t>
    </rPh>
    <phoneticPr fontId="2"/>
  </si>
  <si>
    <t>前年度の⑤を記入する</t>
    <rPh sb="0" eb="3">
      <t>ゼンネンド</t>
    </rPh>
    <rPh sb="6" eb="8">
      <t>キニュウ</t>
    </rPh>
    <phoneticPr fontId="2"/>
  </si>
  <si>
    <t>購入頭数</t>
    <rPh sb="0" eb="2">
      <t>コウニュウ</t>
    </rPh>
    <rPh sb="2" eb="4">
      <t>トウスウ</t>
    </rPh>
    <phoneticPr fontId="2"/>
  </si>
  <si>
    <t>自家産②</t>
    <rPh sb="0" eb="2">
      <t>ジカ</t>
    </rPh>
    <rPh sb="2" eb="3">
      <t>サン</t>
    </rPh>
    <phoneticPr fontId="2"/>
  </si>
  <si>
    <t>前年度の⑪＋⑫を記入する</t>
    <rPh sb="0" eb="3">
      <t>ゼンネンド</t>
    </rPh>
    <rPh sb="8" eb="10">
      <t>キニュウ</t>
    </rPh>
    <phoneticPr fontId="2"/>
  </si>
  <si>
    <t>購入　③</t>
    <rPh sb="0" eb="2">
      <t>コウニュウ</t>
    </rPh>
    <phoneticPr fontId="2"/>
  </si>
  <si>
    <t>他から購入した場合を記入する</t>
    <rPh sb="0" eb="1">
      <t>タ</t>
    </rPh>
    <rPh sb="3" eb="5">
      <t>コウニュウ</t>
    </rPh>
    <rPh sb="7" eb="9">
      <t>バアイ</t>
    </rPh>
    <rPh sb="10" eb="12">
      <t>キニュウ</t>
    </rPh>
    <phoneticPr fontId="2"/>
  </si>
  <si>
    <t>販売、損耗頭数　④</t>
    <rPh sb="0" eb="2">
      <t>ハンバイ</t>
    </rPh>
    <rPh sb="3" eb="5">
      <t>ソンモウ</t>
    </rPh>
    <rPh sb="5" eb="7">
      <t>トウスウ</t>
    </rPh>
    <phoneticPr fontId="2"/>
  </si>
  <si>
    <t>販売損耗淘汰を記入する</t>
    <rPh sb="0" eb="2">
      <t>ハンバイ</t>
    </rPh>
    <rPh sb="2" eb="4">
      <t>ソンモウ</t>
    </rPh>
    <rPh sb="4" eb="6">
      <t>トウタ</t>
    </rPh>
    <rPh sb="7" eb="9">
      <t>キニュウ</t>
    </rPh>
    <phoneticPr fontId="2"/>
  </si>
  <si>
    <t>年度末頭数　⑤</t>
    <rPh sb="0" eb="2">
      <t>ネンド</t>
    </rPh>
    <rPh sb="2" eb="3">
      <t>マツ</t>
    </rPh>
    <rPh sb="3" eb="5">
      <t>トウスウ</t>
    </rPh>
    <phoneticPr fontId="2"/>
  </si>
  <si>
    <t>前年度からの頭数⑥</t>
    <rPh sb="0" eb="3">
      <t>ゼンネンド</t>
    </rPh>
    <rPh sb="6" eb="8">
      <t>トウスウ</t>
    </rPh>
    <phoneticPr fontId="2"/>
  </si>
  <si>
    <t>前年度の⑩を記入する</t>
    <rPh sb="0" eb="3">
      <t>ゼンネンド</t>
    </rPh>
    <rPh sb="6" eb="8">
      <t>キニュウ</t>
    </rPh>
    <phoneticPr fontId="2"/>
  </si>
  <si>
    <t>自家産⑦</t>
    <rPh sb="0" eb="2">
      <t>ジカ</t>
    </rPh>
    <rPh sb="2" eb="3">
      <t>サン</t>
    </rPh>
    <phoneticPr fontId="2"/>
  </si>
  <si>
    <t>⑭を記入する</t>
    <rPh sb="2" eb="4">
      <t>キニュウ</t>
    </rPh>
    <phoneticPr fontId="2"/>
  </si>
  <si>
    <t>購入　⑧</t>
    <rPh sb="0" eb="2">
      <t>コウニュウ</t>
    </rPh>
    <phoneticPr fontId="2"/>
  </si>
  <si>
    <t>販売、損耗頭数　⑨</t>
    <rPh sb="0" eb="2">
      <t>ハンバイ</t>
    </rPh>
    <rPh sb="3" eb="5">
      <t>ソンモウ</t>
    </rPh>
    <rPh sb="5" eb="7">
      <t>トウスウ</t>
    </rPh>
    <phoneticPr fontId="2"/>
  </si>
  <si>
    <t>年度末頭数　⑩</t>
    <rPh sb="0" eb="2">
      <t>ネンド</t>
    </rPh>
    <rPh sb="2" eb="3">
      <t>マツ</t>
    </rPh>
    <rPh sb="3" eb="5">
      <t>トウスウ</t>
    </rPh>
    <phoneticPr fontId="2"/>
  </si>
  <si>
    <t xml:space="preserve">仔　　　牛 </t>
    <rPh sb="0" eb="1">
      <t>コ</t>
    </rPh>
    <rPh sb="4" eb="5">
      <t>ウシ</t>
    </rPh>
    <phoneticPr fontId="2"/>
  </si>
  <si>
    <t>前年度からの育成頭数　　⑪</t>
    <rPh sb="0" eb="3">
      <t>ゼンネンド</t>
    </rPh>
    <rPh sb="6" eb="8">
      <t>イクセイ</t>
    </rPh>
    <rPh sb="8" eb="10">
      <t>トウスウ</t>
    </rPh>
    <phoneticPr fontId="2"/>
  </si>
  <si>
    <t>前年度の⑯を記入</t>
    <rPh sb="0" eb="3">
      <t>ゼンネンド</t>
    </rPh>
    <rPh sb="6" eb="8">
      <t>キニュウ</t>
    </rPh>
    <phoneticPr fontId="2"/>
  </si>
  <si>
    <t>生産頭数</t>
    <rPh sb="0" eb="2">
      <t>セイサン</t>
    </rPh>
    <rPh sb="2" eb="4">
      <t>トウスウ</t>
    </rPh>
    <phoneticPr fontId="2"/>
  </si>
  <si>
    <t>今年度の生産頭数を記入する</t>
    <rPh sb="0" eb="3">
      <t>コンネンド</t>
    </rPh>
    <rPh sb="4" eb="6">
      <t>セイサン</t>
    </rPh>
    <rPh sb="6" eb="8">
      <t>トウスウ</t>
    </rPh>
    <rPh sb="9" eb="11">
      <t>キニュウ</t>
    </rPh>
    <phoneticPr fontId="2"/>
  </si>
  <si>
    <t>自家繁殖用メス⑭</t>
    <rPh sb="0" eb="2">
      <t>ジカ</t>
    </rPh>
    <rPh sb="2" eb="5">
      <t>ハンショクヨウ</t>
    </rPh>
    <phoneticPr fontId="2"/>
  </si>
  <si>
    <t>⑪のうちの繁殖用とした場合を記入する</t>
    <rPh sb="5" eb="7">
      <t>ハンショク</t>
    </rPh>
    <rPh sb="7" eb="8">
      <t>ヨウ</t>
    </rPh>
    <rPh sb="11" eb="13">
      <t>バアイ</t>
    </rPh>
    <rPh sb="14" eb="16">
      <t>キニュウ</t>
    </rPh>
    <phoneticPr fontId="2"/>
  </si>
  <si>
    <t>販売、損耗頭数　⑮</t>
    <rPh sb="0" eb="2">
      <t>ハンバイ</t>
    </rPh>
    <rPh sb="3" eb="5">
      <t>ソンモウ</t>
    </rPh>
    <rPh sb="5" eb="7">
      <t>トウスウ</t>
    </rPh>
    <phoneticPr fontId="2"/>
  </si>
  <si>
    <t>年度末頭数　⑯</t>
    <rPh sb="0" eb="2">
      <t>ネンド</t>
    </rPh>
    <rPh sb="2" eb="3">
      <t>マツ</t>
    </rPh>
    <rPh sb="3" eb="5">
      <t>トウスウ</t>
    </rPh>
    <phoneticPr fontId="2"/>
  </si>
  <si>
    <t>頭</t>
    <rPh sb="0" eb="1">
      <t>トウ</t>
    </rPh>
    <phoneticPr fontId="2"/>
  </si>
  <si>
    <t>現状(万円）</t>
    <rPh sb="0" eb="2">
      <t>ゲンジョウ</t>
    </rPh>
    <rPh sb="3" eb="5">
      <t>マンエン</t>
    </rPh>
    <phoneticPr fontId="2"/>
  </si>
  <si>
    <t>主たる従事者の人数(人）</t>
    <rPh sb="0" eb="1">
      <t>シュ</t>
    </rPh>
    <rPh sb="3" eb="6">
      <t>ジュウジシャ</t>
    </rPh>
    <rPh sb="7" eb="9">
      <t>ニンズウ</t>
    </rPh>
    <rPh sb="10" eb="11">
      <t>ニン</t>
    </rPh>
    <phoneticPr fontId="2"/>
  </si>
  <si>
    <t>現状(時間）</t>
    <rPh sb="0" eb="2">
      <t>ゲンジョウ</t>
    </rPh>
    <rPh sb="3" eb="5">
      <t>ジカン</t>
    </rPh>
    <phoneticPr fontId="2"/>
  </si>
  <si>
    <t>山形県</t>
    <rPh sb="0" eb="3">
      <t>ヤマガタケン</t>
    </rPh>
    <phoneticPr fontId="2"/>
  </si>
  <si>
    <t>川西町</t>
    <rPh sb="0" eb="2">
      <t>カワニシ</t>
    </rPh>
    <rPh sb="2" eb="3">
      <t>マチ</t>
    </rPh>
    <phoneticPr fontId="2"/>
  </si>
  <si>
    <t>田</t>
  </si>
  <si>
    <t>田</t>
    <rPh sb="0" eb="1">
      <t>タ</t>
    </rPh>
    <phoneticPr fontId="2"/>
  </si>
  <si>
    <t>畑</t>
    <rPh sb="0" eb="1">
      <t>ハタケ</t>
    </rPh>
    <phoneticPr fontId="2"/>
  </si>
  <si>
    <t>〃</t>
    <phoneticPr fontId="2"/>
  </si>
  <si>
    <t>動 態 表  (　  繁殖牛　　 経 営　)</t>
    <rPh sb="0" eb="1">
      <t>ドウ</t>
    </rPh>
    <rPh sb="2" eb="3">
      <t>タイ</t>
    </rPh>
    <rPh sb="4" eb="5">
      <t>ヒョウ</t>
    </rPh>
    <rPh sb="11" eb="13">
      <t>ハンショク</t>
    </rPh>
    <rPh sb="13" eb="14">
      <t>ギュウ</t>
    </rPh>
    <rPh sb="17" eb="18">
      <t>キョウ</t>
    </rPh>
    <rPh sb="19" eb="20">
      <t>エイ</t>
    </rPh>
    <phoneticPr fontId="2"/>
  </si>
  <si>
    <t>和牛繁殖成牛・乳用成牛</t>
  </si>
  <si>
    <t>①＋②＋③－④を記入する</t>
    <phoneticPr fontId="2"/>
  </si>
  <si>
    <t>⑥＋⑦＋⑧－⑨を記入する</t>
    <phoneticPr fontId="2"/>
  </si>
  <si>
    <t>メス　⑫</t>
    <phoneticPr fontId="2"/>
  </si>
  <si>
    <t>オス　⑬</t>
    <phoneticPr fontId="2"/>
  </si>
  <si>
    <t>⑪＋⑫＋⑬－⑭-⑮を記入する</t>
    <phoneticPr fontId="2"/>
  </si>
  <si>
    <t>川西町営農モデル作物別労働時間(10a当り・一頭当り) (参考)</t>
    <rPh sb="0" eb="3">
      <t>カワニシマチ</t>
    </rPh>
    <rPh sb="3" eb="5">
      <t>エイノウ</t>
    </rPh>
    <rPh sb="8" eb="10">
      <t>サクモツ</t>
    </rPh>
    <rPh sb="10" eb="11">
      <t>ベツ</t>
    </rPh>
    <rPh sb="11" eb="13">
      <t>ロウドウ</t>
    </rPh>
    <rPh sb="13" eb="15">
      <t>ジカン</t>
    </rPh>
    <rPh sb="19" eb="20">
      <t>アタ</t>
    </rPh>
    <rPh sb="22" eb="24">
      <t>イットウ</t>
    </rPh>
    <rPh sb="24" eb="25">
      <t>アタ</t>
    </rPh>
    <rPh sb="29" eb="31">
      <t>サンコウ</t>
    </rPh>
    <phoneticPr fontId="2"/>
  </si>
  <si>
    <t>平成21年04月</t>
    <rPh sb="0" eb="2">
      <t>ヘイセイ</t>
    </rPh>
    <rPh sb="4" eb="5">
      <t>ネン</t>
    </rPh>
    <rPh sb="7" eb="8">
      <t>ツキ</t>
    </rPh>
    <phoneticPr fontId="2"/>
  </si>
  <si>
    <t>番号</t>
    <rPh sb="0" eb="2">
      <t>バンゴウ</t>
    </rPh>
    <phoneticPr fontId="2"/>
  </si>
  <si>
    <t>作　　目</t>
    <rPh sb="0" eb="1">
      <t>サク</t>
    </rPh>
    <rPh sb="3" eb="4">
      <t>メ</t>
    </rPh>
    <phoneticPr fontId="2"/>
  </si>
  <si>
    <t>面積a</t>
    <rPh sb="0" eb="2">
      <t>メンセキ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</si>
  <si>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</si>
  <si>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</si>
  <si>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</si>
  <si>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</si>
  <si>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</si>
  <si>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</si>
  <si>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</si>
  <si>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</si>
  <si>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</si>
  <si>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</si>
  <si>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</si>
  <si>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</si>
  <si>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2"/>
  </si>
  <si>
    <t>水稲</t>
    <rPh sb="0" eb="2">
      <t>スイトウ</t>
    </rPh>
    <phoneticPr fontId="2"/>
  </si>
  <si>
    <t>水稲(共乾利用)</t>
    <rPh sb="0" eb="2">
      <t>スイトウ</t>
    </rPh>
    <rPh sb="3" eb="4">
      <t>トモ</t>
    </rPh>
    <rPh sb="4" eb="5">
      <t>イヌイ</t>
    </rPh>
    <rPh sb="5" eb="7">
      <t>リヨウ</t>
    </rPh>
    <phoneticPr fontId="2"/>
  </si>
  <si>
    <t>水稲(直播)</t>
    <rPh sb="0" eb="2">
      <t>スイトウ</t>
    </rPh>
    <rPh sb="3" eb="4">
      <t>ジキ</t>
    </rPh>
    <rPh sb="4" eb="5">
      <t>マ</t>
    </rPh>
    <phoneticPr fontId="2"/>
  </si>
  <si>
    <t>作業受託(水稲)</t>
    <rPh sb="0" eb="2">
      <t>サギョウ</t>
    </rPh>
    <rPh sb="2" eb="4">
      <t>ジュタク</t>
    </rPh>
    <rPh sb="5" eb="7">
      <t>スイトウ</t>
    </rPh>
    <phoneticPr fontId="2"/>
  </si>
  <si>
    <t>大豆(共乾)</t>
    <rPh sb="0" eb="2">
      <t>ダイズ</t>
    </rPh>
    <rPh sb="3" eb="4">
      <t>トモ</t>
    </rPh>
    <rPh sb="4" eb="5">
      <t>イヌイ</t>
    </rPh>
    <phoneticPr fontId="2"/>
  </si>
  <si>
    <t>大豆(共乾・直販)</t>
    <rPh sb="0" eb="2">
      <t>ダイズ</t>
    </rPh>
    <rPh sb="3" eb="4">
      <t>トモ</t>
    </rPh>
    <rPh sb="4" eb="5">
      <t>イヌイ</t>
    </rPh>
    <rPh sb="6" eb="8">
      <t>チョクハン</t>
    </rPh>
    <phoneticPr fontId="2"/>
  </si>
  <si>
    <t>小麦(共乾)</t>
    <rPh sb="0" eb="2">
      <t>コムギ</t>
    </rPh>
    <rPh sb="3" eb="4">
      <t>トモ</t>
    </rPh>
    <rPh sb="4" eb="5">
      <t>イヌイ</t>
    </rPh>
    <phoneticPr fontId="2"/>
  </si>
  <si>
    <t>そば(共乾)</t>
    <rPh sb="3" eb="4">
      <t>キョウ</t>
    </rPh>
    <rPh sb="4" eb="5">
      <t>カン</t>
    </rPh>
    <phoneticPr fontId="2"/>
  </si>
  <si>
    <t>たらの芽</t>
    <rPh sb="3" eb="4">
      <t>メ</t>
    </rPh>
    <phoneticPr fontId="2"/>
  </si>
  <si>
    <t>キャベツ(春蒔)</t>
    <rPh sb="5" eb="6">
      <t>ハル</t>
    </rPh>
    <rPh sb="6" eb="7">
      <t>マ</t>
    </rPh>
    <phoneticPr fontId="2"/>
  </si>
  <si>
    <t>キャベツ(夏蒔)</t>
    <rPh sb="5" eb="6">
      <t>ナツ</t>
    </rPh>
    <rPh sb="6" eb="7">
      <t>マ</t>
    </rPh>
    <phoneticPr fontId="2"/>
  </si>
  <si>
    <t>キャベツ(夏蒔冬取)</t>
    <rPh sb="5" eb="6">
      <t>ナツ</t>
    </rPh>
    <rPh sb="6" eb="7">
      <t>マ</t>
    </rPh>
    <rPh sb="7" eb="8">
      <t>フユ</t>
    </rPh>
    <rPh sb="8" eb="9">
      <t>トリ</t>
    </rPh>
    <phoneticPr fontId="2"/>
  </si>
  <si>
    <t>キャベツ(春蒔トンネル)</t>
    <rPh sb="5" eb="6">
      <t>ハル</t>
    </rPh>
    <rPh sb="6" eb="7">
      <t>マ</t>
    </rPh>
    <phoneticPr fontId="2"/>
  </si>
  <si>
    <t>白菜(春蒔トンネル)</t>
    <rPh sb="0" eb="2">
      <t>ハクサイ</t>
    </rPh>
    <rPh sb="3" eb="4">
      <t>ハル</t>
    </rPh>
    <rPh sb="4" eb="5">
      <t>マ</t>
    </rPh>
    <phoneticPr fontId="2"/>
  </si>
  <si>
    <t>白菜(夏蒔)</t>
    <rPh sb="0" eb="2">
      <t>ハクサイ</t>
    </rPh>
    <rPh sb="3" eb="4">
      <t>ナツ</t>
    </rPh>
    <rPh sb="4" eb="5">
      <t>マ</t>
    </rPh>
    <phoneticPr fontId="2"/>
  </si>
  <si>
    <t>白菜(秋蒔)</t>
    <rPh sb="0" eb="2">
      <t>ハクサイ</t>
    </rPh>
    <rPh sb="3" eb="4">
      <t>アキ</t>
    </rPh>
    <rPh sb="4" eb="5">
      <t>マ</t>
    </rPh>
    <phoneticPr fontId="2"/>
  </si>
  <si>
    <t>ほうれんそう(春蒔きトンネル)</t>
    <rPh sb="7" eb="8">
      <t>ハル</t>
    </rPh>
    <rPh sb="8" eb="9">
      <t>マ</t>
    </rPh>
    <phoneticPr fontId="2"/>
  </si>
  <si>
    <t>ほうれんそう(夏蒔き雨よけ)</t>
    <rPh sb="7" eb="8">
      <t>ナツ</t>
    </rPh>
    <rPh sb="8" eb="9">
      <t>マ</t>
    </rPh>
    <rPh sb="10" eb="11">
      <t>アマ</t>
    </rPh>
    <phoneticPr fontId="2"/>
  </si>
  <si>
    <t>ほうれんそう(秋蒔き露地)</t>
    <rPh sb="7" eb="8">
      <t>アキ</t>
    </rPh>
    <rPh sb="8" eb="9">
      <t>マ</t>
    </rPh>
    <rPh sb="10" eb="12">
      <t>ロジ</t>
    </rPh>
    <phoneticPr fontId="2"/>
  </si>
  <si>
    <t>ほうれんそう(冬季無加温)</t>
    <rPh sb="7" eb="9">
      <t>トウキ</t>
    </rPh>
    <rPh sb="9" eb="10">
      <t>ム</t>
    </rPh>
    <rPh sb="10" eb="12">
      <t>カオン</t>
    </rPh>
    <phoneticPr fontId="2"/>
  </si>
  <si>
    <t>ねぎ(夏どり)</t>
    <rPh sb="3" eb="4">
      <t>ナツ</t>
    </rPh>
    <phoneticPr fontId="2"/>
  </si>
  <si>
    <t>ねぎ(秋冬どり)</t>
    <rPh sb="3" eb="4">
      <t>アキ</t>
    </rPh>
    <rPh sb="4" eb="5">
      <t>フユ</t>
    </rPh>
    <phoneticPr fontId="2"/>
  </si>
  <si>
    <t>レタス(初夏蒔)</t>
    <rPh sb="4" eb="6">
      <t>ショカ</t>
    </rPh>
    <rPh sb="6" eb="7">
      <t>マ</t>
    </rPh>
    <phoneticPr fontId="2"/>
  </si>
  <si>
    <t>レタス(夏蒔)</t>
    <rPh sb="4" eb="5">
      <t>ナツ</t>
    </rPh>
    <rPh sb="5" eb="6">
      <t>マ</t>
    </rPh>
    <phoneticPr fontId="2"/>
  </si>
  <si>
    <t>ブロッコリー(春蒔）</t>
    <rPh sb="7" eb="8">
      <t>ハル</t>
    </rPh>
    <rPh sb="8" eb="9">
      <t>マ</t>
    </rPh>
    <phoneticPr fontId="2"/>
  </si>
  <si>
    <t>ブロッコリー(夏蒔)</t>
    <rPh sb="7" eb="8">
      <t>ナツ</t>
    </rPh>
    <rPh sb="8" eb="9">
      <t>マ</t>
    </rPh>
    <phoneticPr fontId="2"/>
  </si>
  <si>
    <t>にんにく(露地)</t>
    <rPh sb="5" eb="7">
      <t>ロジ</t>
    </rPh>
    <phoneticPr fontId="2"/>
  </si>
  <si>
    <t>にら(露地)</t>
    <rPh sb="3" eb="5">
      <t>ロジ</t>
    </rPh>
    <phoneticPr fontId="2"/>
  </si>
  <si>
    <t>にら(秋取)</t>
    <rPh sb="3" eb="4">
      <t>アキ</t>
    </rPh>
    <rPh sb="4" eb="5">
      <t>トリ</t>
    </rPh>
    <phoneticPr fontId="2"/>
  </si>
  <si>
    <t>きゅうり(夏秋)</t>
    <rPh sb="5" eb="6">
      <t>ナツ</t>
    </rPh>
    <rPh sb="6" eb="7">
      <t>アキ</t>
    </rPh>
    <phoneticPr fontId="2"/>
  </si>
  <si>
    <t>きゅうり(抑制)</t>
    <rPh sb="5" eb="7">
      <t>ヨクセイ</t>
    </rPh>
    <phoneticPr fontId="2"/>
  </si>
  <si>
    <t>トマト(ハウス早熟)</t>
    <rPh sb="7" eb="9">
      <t>ソウジュク</t>
    </rPh>
    <phoneticPr fontId="2"/>
  </si>
  <si>
    <t>トマト(雨よけハウス)</t>
    <rPh sb="4" eb="5">
      <t>アマ</t>
    </rPh>
    <phoneticPr fontId="2"/>
  </si>
  <si>
    <t>ミニトマト</t>
    <phoneticPr fontId="2"/>
  </si>
  <si>
    <t>メロン</t>
    <phoneticPr fontId="2"/>
  </si>
  <si>
    <t>なす</t>
    <phoneticPr fontId="2"/>
  </si>
  <si>
    <t>アスパラガス</t>
    <phoneticPr fontId="2"/>
  </si>
  <si>
    <t>アスパラ菜</t>
    <rPh sb="4" eb="5">
      <t>ナ</t>
    </rPh>
    <phoneticPr fontId="2"/>
  </si>
  <si>
    <t>せいさい(春蒔)</t>
    <rPh sb="5" eb="6">
      <t>ハル</t>
    </rPh>
    <rPh sb="6" eb="7">
      <t>マ</t>
    </rPh>
    <phoneticPr fontId="2"/>
  </si>
  <si>
    <t>せいさい(秋蒔)</t>
    <rPh sb="5" eb="6">
      <t>アキ</t>
    </rPh>
    <rPh sb="6" eb="7">
      <t>マ</t>
    </rPh>
    <phoneticPr fontId="2"/>
  </si>
  <si>
    <t>おかひじき(夏蒔電照)</t>
    <rPh sb="6" eb="7">
      <t>ナツ</t>
    </rPh>
    <rPh sb="7" eb="8">
      <t>マ</t>
    </rPh>
    <rPh sb="8" eb="9">
      <t>デン</t>
    </rPh>
    <rPh sb="9" eb="10">
      <t>ショウ</t>
    </rPh>
    <phoneticPr fontId="2"/>
  </si>
  <si>
    <t>おかひじき(春蒔露地)</t>
    <rPh sb="6" eb="7">
      <t>ハル</t>
    </rPh>
    <rPh sb="7" eb="8">
      <t>マ</t>
    </rPh>
    <rPh sb="8" eb="10">
      <t>ロジ</t>
    </rPh>
    <phoneticPr fontId="2"/>
  </si>
  <si>
    <t>おかひじき(夏蒔雨よけ)</t>
    <rPh sb="6" eb="7">
      <t>ナツ</t>
    </rPh>
    <rPh sb="7" eb="8">
      <t>マ</t>
    </rPh>
    <rPh sb="8" eb="9">
      <t>アマ</t>
    </rPh>
    <phoneticPr fontId="2"/>
  </si>
  <si>
    <t>食用菊(越天楽)</t>
    <rPh sb="0" eb="2">
      <t>ショクヨウ</t>
    </rPh>
    <rPh sb="2" eb="3">
      <t>ギク</t>
    </rPh>
    <rPh sb="4" eb="5">
      <t>エツ</t>
    </rPh>
    <rPh sb="5" eb="6">
      <t>テン</t>
    </rPh>
    <rPh sb="6" eb="7">
      <t>ラク</t>
    </rPh>
    <phoneticPr fontId="2"/>
  </si>
  <si>
    <t>食用菊(寿)</t>
    <rPh sb="0" eb="2">
      <t>ショクヨウ</t>
    </rPh>
    <rPh sb="2" eb="3">
      <t>ギク</t>
    </rPh>
    <rPh sb="4" eb="5">
      <t>コトブキ</t>
    </rPh>
    <phoneticPr fontId="2"/>
  </si>
  <si>
    <t>食用菊(もってのほか)</t>
    <rPh sb="0" eb="2">
      <t>ショクヨウ</t>
    </rPh>
    <rPh sb="2" eb="3">
      <t>ギク</t>
    </rPh>
    <phoneticPr fontId="2"/>
  </si>
  <si>
    <t>かぼちゃ(露地)</t>
    <rPh sb="5" eb="7">
      <t>ロジ</t>
    </rPh>
    <phoneticPr fontId="2"/>
  </si>
  <si>
    <t>枝豆(新電光・大勝白毛）</t>
    <rPh sb="0" eb="2">
      <t>エダマメ</t>
    </rPh>
    <rPh sb="3" eb="4">
      <t>シン</t>
    </rPh>
    <rPh sb="4" eb="6">
      <t>デンコウ</t>
    </rPh>
    <rPh sb="7" eb="9">
      <t>タイショウ</t>
    </rPh>
    <rPh sb="9" eb="10">
      <t>シロ</t>
    </rPh>
    <rPh sb="10" eb="11">
      <t>ケ</t>
    </rPh>
    <phoneticPr fontId="2"/>
  </si>
  <si>
    <t>枝豆(秘伝・早生A・B)</t>
    <rPh sb="0" eb="2">
      <t>エダマメ</t>
    </rPh>
    <rPh sb="3" eb="5">
      <t>ヒデン</t>
    </rPh>
    <rPh sb="6" eb="8">
      <t>ワセ</t>
    </rPh>
    <phoneticPr fontId="2"/>
  </si>
  <si>
    <t>枝豆(甘露・白山)</t>
    <rPh sb="0" eb="2">
      <t>エダマメ</t>
    </rPh>
    <rPh sb="3" eb="5">
      <t>カンロ</t>
    </rPh>
    <rPh sb="6" eb="8">
      <t>ハクサン</t>
    </rPh>
    <phoneticPr fontId="2"/>
  </si>
  <si>
    <t>里芋(土垂・早掘)</t>
    <rPh sb="0" eb="2">
      <t>サトイモ</t>
    </rPh>
    <rPh sb="3" eb="4">
      <t>ド</t>
    </rPh>
    <rPh sb="4" eb="5">
      <t>タレ</t>
    </rPh>
    <rPh sb="6" eb="7">
      <t>ハヤ</t>
    </rPh>
    <rPh sb="7" eb="8">
      <t>クツ</t>
    </rPh>
    <phoneticPr fontId="2"/>
  </si>
  <si>
    <t>馬鈴薯(露地)</t>
    <rPh sb="0" eb="3">
      <t>バレイショ</t>
    </rPh>
    <rPh sb="4" eb="6">
      <t>ロジ</t>
    </rPh>
    <phoneticPr fontId="2"/>
  </si>
  <si>
    <t>アルストロメリア</t>
    <phoneticPr fontId="2"/>
  </si>
  <si>
    <t>ストック</t>
    <phoneticPr fontId="2"/>
  </si>
  <si>
    <t>トルコ(加温促成)</t>
    <rPh sb="4" eb="6">
      <t>カオン</t>
    </rPh>
    <rPh sb="6" eb="8">
      <t>ソクセイ</t>
    </rPh>
    <phoneticPr fontId="2"/>
  </si>
  <si>
    <t>トルコ(無加温)</t>
    <rPh sb="4" eb="5">
      <t>ム</t>
    </rPh>
    <rPh sb="5" eb="7">
      <t>カオン</t>
    </rPh>
    <phoneticPr fontId="2"/>
  </si>
  <si>
    <t>ダリア(新植栽)</t>
    <rPh sb="4" eb="5">
      <t>シン</t>
    </rPh>
    <rPh sb="5" eb="7">
      <t>ショクサイ</t>
    </rPh>
    <phoneticPr fontId="2"/>
  </si>
  <si>
    <t>ダリア</t>
    <phoneticPr fontId="2"/>
  </si>
  <si>
    <t>スプレーぎく(夏秋タイプ)</t>
    <rPh sb="7" eb="8">
      <t>ナツ</t>
    </rPh>
    <rPh sb="8" eb="9">
      <t>アキ</t>
    </rPh>
    <phoneticPr fontId="2"/>
  </si>
  <si>
    <t>スプレーぎく(シェード7月)</t>
    <rPh sb="12" eb="13">
      <t>ツキ</t>
    </rPh>
    <phoneticPr fontId="2"/>
  </si>
  <si>
    <t>スプレーぎく(加温11月)</t>
    <rPh sb="7" eb="9">
      <t>カオン</t>
    </rPh>
    <rPh sb="11" eb="12">
      <t>ツキ</t>
    </rPh>
    <phoneticPr fontId="2"/>
  </si>
  <si>
    <t>啓翁桜</t>
    <rPh sb="0" eb="1">
      <t>ケイ</t>
    </rPh>
    <rPh sb="1" eb="2">
      <t>オキナ</t>
    </rPh>
    <rPh sb="2" eb="3">
      <t>ザクラ</t>
    </rPh>
    <phoneticPr fontId="2"/>
  </si>
  <si>
    <t>花卉 ヒマワリ</t>
    <rPh sb="0" eb="2">
      <t>カキ</t>
    </rPh>
    <phoneticPr fontId="2"/>
  </si>
  <si>
    <t>ぶどう(デラ1無加温)</t>
    <rPh sb="7" eb="8">
      <t>ム</t>
    </rPh>
    <rPh sb="8" eb="10">
      <t>カオン</t>
    </rPh>
    <phoneticPr fontId="2"/>
  </si>
  <si>
    <t>ぶどう(デラ2半加温)</t>
    <rPh sb="7" eb="8">
      <t>ハン</t>
    </rPh>
    <rPh sb="8" eb="10">
      <t>カオン</t>
    </rPh>
    <phoneticPr fontId="2"/>
  </si>
  <si>
    <t>ぶどう(大粒ハウス)</t>
    <rPh sb="4" eb="6">
      <t>オオツブ</t>
    </rPh>
    <phoneticPr fontId="2"/>
  </si>
  <si>
    <t>さくらんぼ</t>
    <phoneticPr fontId="2"/>
  </si>
  <si>
    <t>西洋なし</t>
    <rPh sb="0" eb="2">
      <t>セイヨウ</t>
    </rPh>
    <phoneticPr fontId="2"/>
  </si>
  <si>
    <t>りんご(晩生)</t>
    <rPh sb="4" eb="6">
      <t>バンセイ</t>
    </rPh>
    <phoneticPr fontId="2"/>
  </si>
  <si>
    <t>酪農</t>
    <rPh sb="0" eb="2">
      <t>ラクノウ</t>
    </rPh>
    <phoneticPr fontId="2"/>
  </si>
  <si>
    <t>肥育牛</t>
    <rPh sb="0" eb="2">
      <t>ヒイク</t>
    </rPh>
    <rPh sb="2" eb="3">
      <t>ウシ</t>
    </rPh>
    <phoneticPr fontId="2"/>
  </si>
  <si>
    <t>肉用牛一貫</t>
    <rPh sb="0" eb="2">
      <t>ニクヨウ</t>
    </rPh>
    <rPh sb="2" eb="3">
      <t>ギュウ</t>
    </rPh>
    <rPh sb="3" eb="5">
      <t>イッカン</t>
    </rPh>
    <phoneticPr fontId="2"/>
  </si>
  <si>
    <t>繁殖牛</t>
    <rPh sb="0" eb="2">
      <t>ハンショク</t>
    </rPh>
    <rPh sb="2" eb="3">
      <t>ギュウ</t>
    </rPh>
    <phoneticPr fontId="2"/>
  </si>
  <si>
    <t>養豚一貫</t>
    <rPh sb="0" eb="2">
      <t>ヨウトン</t>
    </rPh>
    <rPh sb="2" eb="4">
      <t>イッカン</t>
    </rPh>
    <phoneticPr fontId="2"/>
  </si>
  <si>
    <t>牧草</t>
    <rPh sb="0" eb="2">
      <t>ボクソウ</t>
    </rPh>
    <phoneticPr fontId="2"/>
  </si>
  <si>
    <t>とうもろこし(青刈)</t>
    <rPh sb="7" eb="8">
      <t>アオ</t>
    </rPh>
    <rPh sb="8" eb="9">
      <t>カリ</t>
    </rPh>
    <phoneticPr fontId="2"/>
  </si>
  <si>
    <t>WCS</t>
    <phoneticPr fontId="2"/>
  </si>
  <si>
    <r>
      <t xml:space="preserve">菌床椎茸(10,000袋当) </t>
    </r>
    <r>
      <rPr>
        <b/>
        <i/>
        <sz val="10"/>
        <rFont val="ＭＳ Ｐ明朝"/>
        <family val="1"/>
        <charset val="128"/>
      </rPr>
      <t>t</t>
    </r>
    <rPh sb="0" eb="1">
      <t>キン</t>
    </rPh>
    <rPh sb="1" eb="2">
      <t>トコ</t>
    </rPh>
    <rPh sb="2" eb="4">
      <t>シイタケ</t>
    </rPh>
    <rPh sb="11" eb="12">
      <t>フクロ</t>
    </rPh>
    <rPh sb="12" eb="13">
      <t>トウ</t>
    </rPh>
    <phoneticPr fontId="2"/>
  </si>
  <si>
    <t>原木椎茸 (1,000本当)</t>
    <rPh sb="0" eb="2">
      <t>ゲンボク</t>
    </rPh>
    <rPh sb="2" eb="4">
      <t>シイタケ</t>
    </rPh>
    <rPh sb="11" eb="12">
      <t>ホン</t>
    </rPh>
    <rPh sb="12" eb="13">
      <t>アタ</t>
    </rPh>
    <phoneticPr fontId="2"/>
  </si>
  <si>
    <t>　補足資料　　　飼育頭数　うち町有牛</t>
    <rPh sb="1" eb="3">
      <t>ホソク</t>
    </rPh>
    <rPh sb="3" eb="5">
      <t>シリョウ</t>
    </rPh>
    <rPh sb="8" eb="10">
      <t>シイク</t>
    </rPh>
    <rPh sb="10" eb="12">
      <t>トウスウ</t>
    </rPh>
    <rPh sb="15" eb="16">
      <t>チョウ</t>
    </rPh>
    <rPh sb="16" eb="17">
      <t>ユウ</t>
    </rPh>
    <rPh sb="17" eb="18">
      <t>ウシ</t>
    </rPh>
    <phoneticPr fontId="2"/>
  </si>
  <si>
    <t>計</t>
    <phoneticPr fontId="2"/>
  </si>
  <si>
    <t>○</t>
    <phoneticPr fontId="2"/>
  </si>
  <si>
    <t>〃</t>
    <phoneticPr fontId="2"/>
  </si>
  <si>
    <t>山形県</t>
    <rPh sb="0" eb="3">
      <t>ヤマガタケン</t>
    </rPh>
    <phoneticPr fontId="2"/>
  </si>
  <si>
    <t>川西町</t>
    <rPh sb="0" eb="2">
      <t>カワニシ</t>
    </rPh>
    <rPh sb="2" eb="3">
      <t>マチ</t>
    </rPh>
    <phoneticPr fontId="2"/>
  </si>
  <si>
    <t>令和8年</t>
    <phoneticPr fontId="2"/>
  </si>
  <si>
    <t>特定作業受託</t>
  </si>
  <si>
    <t>作付面積　        飼養頭数</t>
    <rPh sb="13" eb="15">
      <t>シヨウ</t>
    </rPh>
    <rPh sb="15" eb="17">
      <t>トウスウ</t>
    </rPh>
    <phoneticPr fontId="2"/>
  </si>
  <si>
    <t>繁殖和牛</t>
    <rPh sb="0" eb="4">
      <t>ハンショクワギュウ</t>
    </rPh>
    <phoneticPr fontId="2"/>
  </si>
  <si>
    <t>８．所有農機具　</t>
    <rPh sb="2" eb="4">
      <t>ショユウ</t>
    </rPh>
    <rPh sb="4" eb="7">
      <t>ノウキグ</t>
    </rPh>
    <phoneticPr fontId="2"/>
  </si>
  <si>
    <t>型式・性能・規模</t>
    <rPh sb="0" eb="2">
      <t>カタシキ</t>
    </rPh>
    <rPh sb="3" eb="5">
      <t>セイノウ</t>
    </rPh>
    <rPh sb="6" eb="8">
      <t>キボ</t>
    </rPh>
    <phoneticPr fontId="2"/>
  </si>
  <si>
    <t>機　械　名</t>
    <rPh sb="0" eb="1">
      <t>キ</t>
    </rPh>
    <rPh sb="2" eb="3">
      <t>カイ</t>
    </rPh>
    <rPh sb="4" eb="5">
      <t>メイ</t>
    </rPh>
    <phoneticPr fontId="2"/>
  </si>
  <si>
    <t>トラクター</t>
    <phoneticPr fontId="2"/>
  </si>
  <si>
    <t>田植機</t>
    <rPh sb="0" eb="2">
      <t>タウエ</t>
    </rPh>
    <rPh sb="2" eb="3">
      <t>キ</t>
    </rPh>
    <phoneticPr fontId="2"/>
  </si>
  <si>
    <t>コンバイン</t>
    <phoneticPr fontId="2"/>
  </si>
  <si>
    <t>乾燥機</t>
    <rPh sb="0" eb="3">
      <t>カンソウキ</t>
    </rPh>
    <phoneticPr fontId="2"/>
  </si>
  <si>
    <t>籾摺機</t>
    <rPh sb="0" eb="2">
      <t>モミス</t>
    </rPh>
    <rPh sb="2" eb="3">
      <t>キ</t>
    </rPh>
    <phoneticPr fontId="2"/>
  </si>
  <si>
    <t>色彩選別機</t>
    <rPh sb="0" eb="2">
      <t>シキサイ</t>
    </rPh>
    <rPh sb="2" eb="4">
      <t>センベツ</t>
    </rPh>
    <rPh sb="4" eb="5">
      <t>キ</t>
    </rPh>
    <phoneticPr fontId="2"/>
  </si>
  <si>
    <t>台　数</t>
    <rPh sb="0" eb="1">
      <t>ダイ</t>
    </rPh>
    <rPh sb="2" eb="3">
      <t>スウ</t>
    </rPh>
    <phoneticPr fontId="2"/>
  </si>
  <si>
    <t>フォークリフト</t>
    <phoneticPr fontId="2"/>
  </si>
  <si>
    <t>トラック</t>
    <phoneticPr fontId="2"/>
  </si>
  <si>
    <t>軽ﾄﾗｯｸ</t>
    <rPh sb="0" eb="1">
      <t>ケイ</t>
    </rPh>
    <phoneticPr fontId="2"/>
  </si>
  <si>
    <t>９．各種加入状況</t>
    <rPh sb="2" eb="4">
      <t>カクシュ</t>
    </rPh>
    <rPh sb="4" eb="6">
      <t>カニュウ</t>
    </rPh>
    <rPh sb="6" eb="8">
      <t>ジョウキョウ</t>
    </rPh>
    <phoneticPr fontId="2"/>
  </si>
  <si>
    <t>令和11年</t>
  </si>
  <si>
    <t>令和12年</t>
  </si>
  <si>
    <t>令和　　7年</t>
    <rPh sb="0" eb="1">
      <t>レイ</t>
    </rPh>
    <rPh sb="1" eb="2">
      <t>ワ</t>
    </rPh>
    <rPh sb="5" eb="6">
      <t>ネン</t>
    </rPh>
    <phoneticPr fontId="2"/>
  </si>
  <si>
    <t>令和9年</t>
    <phoneticPr fontId="2"/>
  </si>
  <si>
    <t>令和10年</t>
    <phoneticPr fontId="2"/>
  </si>
  <si>
    <t>令和13年</t>
  </si>
  <si>
    <t>現　状(R08)</t>
    <phoneticPr fontId="2"/>
  </si>
  <si>
    <t>１年目(R09)</t>
    <phoneticPr fontId="2"/>
  </si>
  <si>
    <t>２年目(R10)</t>
    <phoneticPr fontId="2"/>
  </si>
  <si>
    <t>１年目(R11)</t>
    <phoneticPr fontId="2"/>
  </si>
  <si>
    <t>２年目(R12)</t>
    <phoneticPr fontId="2"/>
  </si>
  <si>
    <t>５年目（目標）(R13)</t>
    <rPh sb="1" eb="3">
      <t>ネンメ</t>
    </rPh>
    <phoneticPr fontId="2"/>
  </si>
  <si>
    <t>地域計画の位置づけ有り</t>
    <rPh sb="0" eb="2">
      <t>チイキ</t>
    </rPh>
    <rPh sb="2" eb="4">
      <t>ケイカク</t>
    </rPh>
    <rPh sb="5" eb="7">
      <t>イチ</t>
    </rPh>
    <rPh sb="9" eb="10">
      <t>ア</t>
    </rPh>
    <phoneticPr fontId="2"/>
  </si>
  <si>
    <t>目標（令和13年）</t>
    <rPh sb="0" eb="2">
      <t>モクヒョウ</t>
    </rPh>
    <rPh sb="3" eb="5">
      <t>レイワ</t>
    </rPh>
    <rPh sb="7" eb="8">
      <t>ネン</t>
    </rPh>
    <phoneticPr fontId="2"/>
  </si>
  <si>
    <t>目標（令和13年）（万円）</t>
    <rPh sb="0" eb="2">
      <t>モクヒョウ</t>
    </rPh>
    <rPh sb="3" eb="5">
      <t>レイワ</t>
    </rPh>
    <rPh sb="7" eb="8">
      <t>ネン</t>
    </rPh>
    <rPh sb="10" eb="12">
      <t>マンエン</t>
    </rPh>
    <phoneticPr fontId="2"/>
  </si>
  <si>
    <t>目標（令和13年）(時間）</t>
    <rPh sb="0" eb="2">
      <t>モクヒョウ</t>
    </rPh>
    <rPh sb="3" eb="5">
      <t>レイワ</t>
    </rPh>
    <rPh sb="7" eb="8">
      <t>ネン</t>
    </rPh>
    <rPh sb="10" eb="12">
      <t>ジカン</t>
    </rPh>
    <phoneticPr fontId="2"/>
  </si>
  <si>
    <t>目   標（令和13年）</t>
    <rPh sb="6" eb="8">
      <t>レイワ</t>
    </rPh>
    <phoneticPr fontId="2"/>
  </si>
  <si>
    <t>目標（令和13年）</t>
    <rPh sb="3" eb="5">
      <t>レイワ</t>
    </rPh>
    <phoneticPr fontId="2"/>
  </si>
  <si>
    <t>見通し（令和13年）</t>
    <rPh sb="0" eb="2">
      <t>ミトオ</t>
    </rPh>
    <rPh sb="4" eb="6">
      <t>レイワ</t>
    </rPh>
    <rPh sb="8" eb="9">
      <t>ネン</t>
    </rPh>
    <phoneticPr fontId="2"/>
  </si>
  <si>
    <r>
      <rPr>
        <sz val="10"/>
        <rFont val="ＭＳ 明朝"/>
        <family val="1"/>
        <charset val="128"/>
      </rPr>
      <t xml:space="preserve">目標                            （令和13年）    </t>
    </r>
    <r>
      <rPr>
        <sz val="12"/>
        <rFont val="ＭＳ 明朝"/>
        <family val="1"/>
        <charset val="128"/>
      </rPr>
      <t>(a)</t>
    </r>
    <rPh sb="0" eb="2">
      <t>モクヒョウ</t>
    </rPh>
    <rPh sb="31" eb="33">
      <t>レイワ</t>
    </rPh>
    <rPh sb="35" eb="36">
      <t>ネン</t>
    </rPh>
    <phoneticPr fontId="2"/>
  </si>
  <si>
    <t>７．負債調書　（　R07年 12月 31日 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</si>
</sst>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);[Red]\(0.0\)"/>
    <numFmt numFmtId="177" formatCode="#,##0.0_);[Red]\(#,##0.0\)"/>
    <numFmt numFmtId="178" formatCode="0.0_ "/>
    <numFmt numFmtId="179" formatCode="0_);[Red]\(0\)"/>
    <numFmt numFmtId="180" formatCode="#,##0;&quot;△ &quot;#,##0"/>
    <numFmt numFmtId="181" formatCode="#,##0.0_ ;[Red]\-#,##0.0\ "/>
    <numFmt numFmtId="182" formatCode="0.00_ "/>
    <numFmt numFmtId="183" formatCode="#,##0.0;[Red]\-#,##0.0"/>
    <numFmt numFmtId="184" formatCode="#,##0_ ;[Red]\-#,##0\ "/>
  </numFmts>
  <fonts count="22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000000"/>
      <name val="Times New Roman"/>
      <family val="1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b/>
      <i/>
      <sz val="10"/>
      <name val="ＭＳ Ｐ明朝"/>
      <family val="1"/>
      <charset val="128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dashed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dashed">
        <color indexed="64"/>
      </bottom>
      <diagonal/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38" fontId="12" fillId="0" borderId="0" applyFont="0" applyFill="0" applyBorder="0" applyAlignment="0" applyProtection="0">
      <alignment vertical="center"/>
    </xf>
  </cellStyleXfs>
  <cellXfs count="819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horizontal="left" vertical="center"/>
    </xf>
    <xf numFmtId="0" fontId="3" fillId="0" borderId="77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9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right" vertical="center"/>
    </xf>
    <xf numFmtId="0" fontId="3" fillId="0" borderId="59" xfId="0" applyFont="1" applyFill="1" applyBorder="1" applyAlignment="1">
      <alignment vertical="center" wrapText="1"/>
    </xf>
    <xf numFmtId="0" fontId="3" fillId="0" borderId="59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9" fontId="15" fillId="0" borderId="112" xfId="0" applyNumberFormat="1" applyFont="1" applyFill="1" applyBorder="1" applyAlignment="1">
      <alignment vertical="center"/>
    </xf>
    <xf numFmtId="0" fontId="15" fillId="0" borderId="112" xfId="0" applyFont="1" applyFill="1" applyBorder="1" applyAlignment="1">
      <alignment horizontal="right" vertical="center" wrapText="1"/>
    </xf>
    <xf numFmtId="0" fontId="15" fillId="0" borderId="113" xfId="0" applyFont="1" applyFill="1" applyBorder="1" applyAlignment="1">
      <alignment horizontal="right" vertical="center" wrapText="1"/>
    </xf>
    <xf numFmtId="179" fontId="13" fillId="0" borderId="117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38" fontId="13" fillId="0" borderId="101" xfId="2" applyFont="1" applyFill="1" applyBorder="1" applyAlignment="1">
      <alignment horizontal="center" vertical="center" shrinkToFit="1"/>
    </xf>
    <xf numFmtId="38" fontId="13" fillId="0" borderId="103" xfId="2" applyFont="1" applyFill="1" applyBorder="1" applyAlignment="1">
      <alignment horizontal="center" vertical="center" shrinkToFit="1"/>
    </xf>
    <xf numFmtId="38" fontId="13" fillId="0" borderId="125" xfId="2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176" fontId="13" fillId="0" borderId="0" xfId="0" applyNumberFormat="1" applyFont="1" applyFill="1" applyBorder="1" applyAlignment="1">
      <alignment horizontal="right" vertical="center" wrapText="1"/>
    </xf>
    <xf numFmtId="179" fontId="13" fillId="0" borderId="0" xfId="0" applyNumberFormat="1" applyFont="1" applyFill="1" applyBorder="1" applyAlignment="1">
      <alignment horizontal="right" vertical="center" wrapText="1"/>
    </xf>
    <xf numFmtId="38" fontId="13" fillId="0" borderId="0" xfId="2" applyFont="1" applyFill="1" applyBorder="1" applyAlignment="1">
      <alignment horizontal="right" vertical="center" wrapText="1"/>
    </xf>
    <xf numFmtId="38" fontId="13" fillId="0" borderId="0" xfId="2" applyFont="1" applyFill="1" applyBorder="1" applyAlignment="1">
      <alignment horizontal="right" vertical="center"/>
    </xf>
    <xf numFmtId="181" fontId="13" fillId="0" borderId="0" xfId="2" applyNumberFormat="1" applyFont="1" applyFill="1" applyBorder="1" applyAlignment="1">
      <alignment horizontal="right" vertical="center" wrapText="1"/>
    </xf>
    <xf numFmtId="38" fontId="13" fillId="0" borderId="0" xfId="2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textRotation="255" wrapText="1"/>
    </xf>
    <xf numFmtId="179" fontId="15" fillId="0" borderId="126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38" fontId="13" fillId="0" borderId="53" xfId="2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vertical="center" wrapText="1"/>
    </xf>
    <xf numFmtId="179" fontId="13" fillId="0" borderId="78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17" xfId="0" applyFont="1" applyBorder="1" applyAlignment="1">
      <alignment horizontal="center" vertical="center" wrapText="1"/>
    </xf>
    <xf numFmtId="0" fontId="15" fillId="0" borderId="11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5" fillId="2" borderId="82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61" xfId="0" applyFont="1" applyFill="1" applyBorder="1" applyAlignment="1">
      <alignment horizontal="center" vertical="center" wrapText="1"/>
    </xf>
    <xf numFmtId="0" fontId="13" fillId="2" borderId="16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179" fontId="15" fillId="0" borderId="16" xfId="0" applyNumberFormat="1" applyFont="1" applyBorder="1" applyAlignment="1">
      <alignment vertical="center"/>
    </xf>
    <xf numFmtId="179" fontId="15" fillId="0" borderId="0" xfId="0" applyNumberFormat="1" applyFont="1" applyAlignment="1">
      <alignment vertical="center"/>
    </xf>
    <xf numFmtId="179" fontId="15" fillId="0" borderId="10" xfId="0" applyNumberFormat="1" applyFont="1" applyBorder="1" applyAlignment="1">
      <alignment horizontal="center" vertical="center"/>
    </xf>
    <xf numFmtId="179" fontId="15" fillId="0" borderId="9" xfId="0" applyNumberFormat="1" applyFont="1" applyBorder="1" applyAlignment="1">
      <alignment horizontal="center" vertical="center"/>
    </xf>
    <xf numFmtId="179" fontId="15" fillId="0" borderId="9" xfId="2" applyNumberFormat="1" applyFont="1" applyBorder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179" fontId="15" fillId="0" borderId="170" xfId="0" applyNumberFormat="1" applyFont="1" applyBorder="1" applyAlignment="1">
      <alignment horizontal="center" vertical="center"/>
    </xf>
    <xf numFmtId="179" fontId="15" fillId="0" borderId="170" xfId="0" applyNumberFormat="1" applyFont="1" applyBorder="1" applyAlignment="1">
      <alignment vertical="center"/>
    </xf>
    <xf numFmtId="179" fontId="15" fillId="0" borderId="170" xfId="2" applyNumberFormat="1" applyFont="1" applyBorder="1" applyAlignment="1">
      <alignment vertical="center"/>
    </xf>
    <xf numFmtId="179" fontId="15" fillId="0" borderId="112" xfId="0" applyNumberFormat="1" applyFont="1" applyBorder="1" applyAlignment="1">
      <alignment horizontal="center" vertical="center"/>
    </xf>
    <xf numFmtId="179" fontId="15" fillId="0" borderId="171" xfId="0" applyNumberFormat="1" applyFont="1" applyBorder="1" applyAlignment="1">
      <alignment vertical="center"/>
    </xf>
    <xf numFmtId="179" fontId="15" fillId="0" borderId="112" xfId="0" applyNumberFormat="1" applyFont="1" applyBorder="1" applyAlignment="1">
      <alignment vertical="center"/>
    </xf>
    <xf numFmtId="179" fontId="15" fillId="0" borderId="112" xfId="2" applyNumberFormat="1" applyFont="1" applyBorder="1" applyAlignment="1">
      <alignment vertical="center"/>
    </xf>
    <xf numFmtId="179" fontId="15" fillId="0" borderId="112" xfId="0" applyNumberFormat="1" applyFont="1" applyBorder="1" applyAlignment="1">
      <alignment vertical="center" shrinkToFit="1"/>
    </xf>
    <xf numFmtId="179" fontId="15" fillId="0" borderId="113" xfId="0" applyNumberFormat="1" applyFont="1" applyBorder="1" applyAlignment="1">
      <alignment vertical="center" shrinkToFit="1"/>
    </xf>
    <xf numFmtId="179" fontId="15" fillId="0" borderId="172" xfId="0" applyNumberFormat="1" applyFont="1" applyBorder="1" applyAlignment="1">
      <alignment horizontal="center" vertical="center"/>
    </xf>
    <xf numFmtId="179" fontId="15" fillId="0" borderId="172" xfId="0" applyNumberFormat="1" applyFont="1" applyBorder="1" applyAlignment="1">
      <alignment vertical="center"/>
    </xf>
    <xf numFmtId="179" fontId="15" fillId="0" borderId="172" xfId="2" applyNumberFormat="1" applyFont="1" applyBorder="1" applyAlignment="1">
      <alignment vertical="center"/>
    </xf>
    <xf numFmtId="179" fontId="15" fillId="0" borderId="0" xfId="2" applyNumberFormat="1" applyFont="1" applyAlignment="1">
      <alignment vertical="center"/>
    </xf>
    <xf numFmtId="0" fontId="13" fillId="2" borderId="161" xfId="0" applyFont="1" applyFill="1" applyBorder="1" applyAlignment="1">
      <alignment vertical="center" wrapText="1"/>
    </xf>
    <xf numFmtId="0" fontId="3" fillId="0" borderId="127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13" fillId="0" borderId="131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38" fontId="13" fillId="0" borderId="103" xfId="2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64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65" xfId="0" applyFont="1" applyFill="1" applyBorder="1" applyAlignment="1">
      <alignment horizontal="center" vertical="center" shrinkToFit="1"/>
    </xf>
    <xf numFmtId="0" fontId="3" fillId="0" borderId="67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169" xfId="0" applyFont="1" applyFill="1" applyBorder="1" applyAlignment="1">
      <alignment horizontal="center" vertical="center" shrinkToFit="1"/>
    </xf>
    <xf numFmtId="178" fontId="3" fillId="0" borderId="99" xfId="0" applyNumberFormat="1" applyFont="1" applyFill="1" applyBorder="1" applyAlignment="1">
      <alignment horizontal="right" vertical="center" wrapText="1"/>
    </xf>
    <xf numFmtId="178" fontId="3" fillId="0" borderId="11" xfId="0" applyNumberFormat="1" applyFont="1" applyFill="1" applyBorder="1" applyAlignment="1">
      <alignment horizontal="right" vertical="center" wrapText="1"/>
    </xf>
    <xf numFmtId="178" fontId="3" fillId="0" borderId="34" xfId="0" applyNumberFormat="1" applyFont="1" applyFill="1" applyBorder="1" applyAlignment="1">
      <alignment horizontal="right" vertical="center" wrapText="1"/>
    </xf>
    <xf numFmtId="178" fontId="3" fillId="0" borderId="27" xfId="0" applyNumberFormat="1" applyFont="1" applyFill="1" applyBorder="1" applyAlignment="1">
      <alignment horizontal="right" vertical="center" wrapText="1"/>
    </xf>
    <xf numFmtId="181" fontId="3" fillId="0" borderId="164" xfId="2" applyNumberFormat="1" applyFont="1" applyFill="1" applyBorder="1" applyAlignment="1">
      <alignment horizontal="right" vertical="center" wrapText="1"/>
    </xf>
    <xf numFmtId="181" fontId="3" fillId="0" borderId="95" xfId="2" applyNumberFormat="1" applyFont="1" applyFill="1" applyBorder="1" applyAlignment="1">
      <alignment horizontal="right" vertical="center" wrapText="1"/>
    </xf>
    <xf numFmtId="179" fontId="3" fillId="0" borderId="10" xfId="0" applyNumberFormat="1" applyFont="1" applyFill="1" applyBorder="1" applyAlignment="1">
      <alignment horizontal="right" vertical="center" wrapText="1"/>
    </xf>
    <xf numFmtId="179" fontId="3" fillId="0" borderId="165" xfId="0" applyNumberFormat="1" applyFont="1" applyFill="1" applyBorder="1" applyAlignment="1">
      <alignment horizontal="right" vertical="center" wrapText="1"/>
    </xf>
    <xf numFmtId="179" fontId="3" fillId="0" borderId="25" xfId="0" applyNumberFormat="1" applyFont="1" applyFill="1" applyBorder="1" applyAlignment="1">
      <alignment horizontal="right" vertical="center" wrapText="1"/>
    </xf>
    <xf numFmtId="179" fontId="3" fillId="0" borderId="162" xfId="0" applyNumberFormat="1" applyFont="1" applyFill="1" applyBorder="1" applyAlignment="1">
      <alignment horizontal="right" vertical="center" wrapText="1"/>
    </xf>
    <xf numFmtId="179" fontId="3" fillId="0" borderId="93" xfId="2" applyNumberFormat="1" applyFont="1" applyFill="1" applyBorder="1" applyAlignment="1">
      <alignment horizontal="right" vertical="center" wrapText="1"/>
    </xf>
    <xf numFmtId="179" fontId="3" fillId="0" borderId="163" xfId="2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43" xfId="0" applyFont="1" applyFill="1" applyBorder="1" applyAlignment="1">
      <alignment horizontal="left" vertical="top" wrapText="1"/>
    </xf>
    <xf numFmtId="0" fontId="3" fillId="0" borderId="4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46" xfId="0" applyFont="1" applyFill="1" applyBorder="1" applyAlignment="1">
      <alignment horizontal="left" vertical="top" wrapText="1"/>
    </xf>
    <xf numFmtId="0" fontId="3" fillId="0" borderId="47" xfId="0" applyFont="1" applyFill="1" applyBorder="1" applyAlignment="1">
      <alignment horizontal="left" vertical="top" wrapText="1"/>
    </xf>
    <xf numFmtId="0" fontId="3" fillId="0" borderId="48" xfId="0" applyFont="1" applyFill="1" applyBorder="1" applyAlignment="1">
      <alignment horizontal="left" vertical="top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5" fillId="0" borderId="99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176" fontId="1" fillId="0" borderId="51" xfId="0" applyNumberFormat="1" applyFont="1" applyFill="1" applyBorder="1" applyAlignment="1">
      <alignment horizontal="right" vertical="center" wrapText="1"/>
    </xf>
    <xf numFmtId="0" fontId="1" fillId="0" borderId="52" xfId="0" applyFont="1" applyFill="1" applyBorder="1" applyAlignment="1">
      <alignment horizontal="right" vertical="center" wrapText="1"/>
    </xf>
    <xf numFmtId="0" fontId="1" fillId="0" borderId="53" xfId="0" applyFont="1" applyFill="1" applyBorder="1" applyAlignment="1">
      <alignment horizontal="right" vertical="center" wrapText="1"/>
    </xf>
    <xf numFmtId="176" fontId="3" fillId="0" borderId="65" xfId="0" applyNumberFormat="1" applyFont="1" applyFill="1" applyBorder="1" applyAlignment="1">
      <alignment horizontal="right" vertical="center" wrapText="1"/>
    </xf>
    <xf numFmtId="0" fontId="1" fillId="0" borderId="54" xfId="0" applyFont="1" applyFill="1" applyBorder="1" applyAlignment="1">
      <alignment horizontal="right" vertical="center" wrapText="1"/>
    </xf>
    <xf numFmtId="0" fontId="3" fillId="0" borderId="93" xfId="0" applyFont="1" applyFill="1" applyBorder="1" applyAlignment="1">
      <alignment horizontal="right" vertical="center" wrapText="1"/>
    </xf>
    <xf numFmtId="0" fontId="3" fillId="0" borderId="92" xfId="0" applyFont="1" applyFill="1" applyBorder="1" applyAlignment="1">
      <alignment horizontal="right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38" fontId="9" fillId="0" borderId="11" xfId="0" applyNumberFormat="1" applyFont="1" applyFill="1" applyBorder="1" applyAlignment="1">
      <alignment horizontal="right" vertical="center" wrapText="1" shrinkToFit="1"/>
    </xf>
    <xf numFmtId="0" fontId="9" fillId="0" borderId="9" xfId="0" applyFont="1" applyFill="1" applyBorder="1" applyAlignment="1">
      <alignment horizontal="right" vertical="center" wrapText="1" shrinkToFit="1"/>
    </xf>
    <xf numFmtId="0" fontId="3" fillId="0" borderId="65" xfId="0" applyFont="1" applyFill="1" applyBorder="1" applyAlignment="1">
      <alignment horizontal="right" vertical="center"/>
    </xf>
    <xf numFmtId="0" fontId="1" fillId="0" borderId="69" xfId="0" applyFont="1" applyFill="1" applyBorder="1" applyAlignment="1">
      <alignment vertical="center" wrapText="1"/>
    </xf>
    <xf numFmtId="0" fontId="1" fillId="0" borderId="70" xfId="0" applyFont="1" applyFill="1" applyBorder="1" applyAlignment="1">
      <alignment vertical="center" wrapText="1"/>
    </xf>
    <xf numFmtId="0" fontId="1" fillId="0" borderId="7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4" fillId="0" borderId="53" xfId="0" applyFont="1" applyFill="1" applyBorder="1" applyAlignment="1">
      <alignment horizontal="center" vertical="center" wrapText="1" shrinkToFit="1"/>
    </xf>
    <xf numFmtId="0" fontId="3" fillId="0" borderId="51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3" fillId="0" borderId="94" xfId="0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center" vertical="center" wrapText="1"/>
    </xf>
    <xf numFmtId="38" fontId="4" fillId="0" borderId="78" xfId="2" applyFont="1" applyFill="1" applyBorder="1" applyAlignment="1">
      <alignment horizontal="right" vertical="center" shrinkToFit="1"/>
    </xf>
    <xf numFmtId="38" fontId="4" fillId="0" borderId="53" xfId="2" applyFont="1" applyFill="1" applyBorder="1" applyAlignment="1">
      <alignment horizontal="right" vertical="center" shrinkToFit="1"/>
    </xf>
    <xf numFmtId="38" fontId="9" fillId="0" borderId="53" xfId="2" applyFont="1" applyFill="1" applyBorder="1" applyAlignment="1">
      <alignment horizontal="right" vertical="center" wrapText="1" shrinkToFit="1"/>
    </xf>
    <xf numFmtId="38" fontId="9" fillId="0" borderId="78" xfId="2" applyFont="1" applyFill="1" applyBorder="1" applyAlignment="1">
      <alignment horizontal="right" vertical="center" wrapText="1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65" xfId="0" applyFont="1" applyFill="1" applyBorder="1" applyAlignment="1">
      <alignment horizontal="center" vertical="center" shrinkToFi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65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90" xfId="0" applyFont="1" applyFill="1" applyBorder="1" applyAlignment="1">
      <alignment horizontal="right" vertical="center" wrapText="1"/>
    </xf>
    <xf numFmtId="0" fontId="1" fillId="0" borderId="73" xfId="0" applyFont="1" applyFill="1" applyBorder="1" applyAlignment="1">
      <alignment horizontal="right" vertical="center" wrapText="1"/>
    </xf>
    <xf numFmtId="178" fontId="3" fillId="0" borderId="164" xfId="0" applyNumberFormat="1" applyFont="1" applyFill="1" applyBorder="1" applyAlignment="1">
      <alignment horizontal="right" vertical="center" wrapText="1"/>
    </xf>
    <xf numFmtId="178" fontId="3" fillId="0" borderId="95" xfId="0" applyNumberFormat="1" applyFont="1" applyFill="1" applyBorder="1" applyAlignment="1">
      <alignment horizontal="right" vertical="center" wrapText="1"/>
    </xf>
    <xf numFmtId="38" fontId="3" fillId="0" borderId="10" xfId="2" applyFont="1" applyFill="1" applyBorder="1" applyAlignment="1">
      <alignment horizontal="right" vertical="center" wrapText="1"/>
    </xf>
    <xf numFmtId="38" fontId="3" fillId="0" borderId="65" xfId="2" applyFont="1" applyFill="1" applyBorder="1" applyAlignment="1">
      <alignment horizontal="right" vertical="center" wrapText="1"/>
    </xf>
    <xf numFmtId="38" fontId="3" fillId="0" borderId="25" xfId="2" applyFont="1" applyFill="1" applyBorder="1" applyAlignment="1">
      <alignment horizontal="right" vertical="center" wrapText="1"/>
    </xf>
    <xf numFmtId="38" fontId="3" fillId="0" borderId="73" xfId="2" applyFont="1" applyFill="1" applyBorder="1" applyAlignment="1">
      <alignment horizontal="right" vertical="center" wrapText="1"/>
    </xf>
    <xf numFmtId="38" fontId="3" fillId="0" borderId="93" xfId="2" applyFont="1" applyFill="1" applyBorder="1" applyAlignment="1">
      <alignment horizontal="right" vertical="center" wrapText="1"/>
    </xf>
    <xf numFmtId="38" fontId="3" fillId="0" borderId="96" xfId="2" applyFont="1" applyFill="1" applyBorder="1" applyAlignment="1">
      <alignment horizontal="right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62" xfId="0" applyFont="1" applyFill="1" applyBorder="1" applyAlignment="1">
      <alignment horizontal="center" vertical="center" wrapText="1"/>
    </xf>
    <xf numFmtId="0" fontId="3" fillId="0" borderId="16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right" vertical="center" wrapText="1"/>
    </xf>
    <xf numFmtId="0" fontId="3" fillId="0" borderId="33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89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vertical="center" shrinkToFi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21" fillId="0" borderId="80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/>
    </xf>
    <xf numFmtId="49" fontId="3" fillId="0" borderId="78" xfId="0" applyNumberFormat="1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3" fillId="0" borderId="8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1" fillId="0" borderId="82" xfId="0" applyFont="1" applyFill="1" applyBorder="1" applyAlignment="1">
      <alignment vertical="center" wrapText="1" shrinkToFit="1"/>
    </xf>
    <xf numFmtId="0" fontId="1" fillId="0" borderId="128" xfId="0" applyFont="1" applyFill="1" applyBorder="1" applyAlignment="1">
      <alignment vertical="center" wrapText="1" shrinkToFit="1"/>
    </xf>
    <xf numFmtId="0" fontId="1" fillId="0" borderId="78" xfId="0" applyFont="1" applyFill="1" applyBorder="1" applyAlignment="1">
      <alignment vertical="center" shrinkToFit="1"/>
    </xf>
    <xf numFmtId="0" fontId="1" fillId="0" borderId="79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1" fillId="0" borderId="6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1" fillId="0" borderId="58" xfId="0" applyFont="1" applyFill="1" applyBorder="1" applyAlignment="1">
      <alignment vertical="center" wrapText="1"/>
    </xf>
    <xf numFmtId="0" fontId="1" fillId="0" borderId="59" xfId="0" applyFont="1" applyFill="1" applyBorder="1" applyAlignment="1">
      <alignment vertical="center" wrapText="1"/>
    </xf>
    <xf numFmtId="0" fontId="1" fillId="0" borderId="6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right" vertical="center" shrinkToFit="1"/>
    </xf>
    <xf numFmtId="38" fontId="4" fillId="0" borderId="9" xfId="2" applyFont="1" applyFill="1" applyBorder="1" applyAlignment="1">
      <alignment horizontal="right" vertical="center" shrinkToFi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5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8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vertical="center" shrinkToFit="1"/>
    </xf>
    <xf numFmtId="0" fontId="10" fillId="0" borderId="83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81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3" fillId="0" borderId="164" xfId="0" applyFont="1" applyFill="1" applyBorder="1" applyAlignment="1">
      <alignment horizontal="right" vertical="center" wrapText="1"/>
    </xf>
    <xf numFmtId="0" fontId="3" fillId="0" borderId="95" xfId="0" applyFont="1" applyFill="1" applyBorder="1" applyAlignment="1">
      <alignment horizontal="right" vertical="center" wrapText="1"/>
    </xf>
    <xf numFmtId="179" fontId="3" fillId="0" borderId="93" xfId="0" applyNumberFormat="1" applyFont="1" applyFill="1" applyBorder="1" applyAlignment="1">
      <alignment horizontal="right" vertical="center" wrapText="1"/>
    </xf>
    <xf numFmtId="179" fontId="3" fillId="0" borderId="163" xfId="0" applyNumberFormat="1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27" xfId="0" applyFont="1" applyFill="1" applyBorder="1" applyAlignment="1">
      <alignment horizontal="right" vertical="center" wrapText="1"/>
    </xf>
    <xf numFmtId="38" fontId="3" fillId="0" borderId="10" xfId="0" applyNumberFormat="1" applyFont="1" applyFill="1" applyBorder="1" applyAlignment="1">
      <alignment horizontal="right" vertical="center" wrapText="1"/>
    </xf>
    <xf numFmtId="0" fontId="3" fillId="0" borderId="65" xfId="0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right" vertical="center" wrapText="1"/>
    </xf>
    <xf numFmtId="0" fontId="3" fillId="0" borderId="73" xfId="0" applyFont="1" applyFill="1" applyBorder="1" applyAlignment="1">
      <alignment horizontal="right" vertical="center" wrapText="1"/>
    </xf>
    <xf numFmtId="0" fontId="3" fillId="0" borderId="96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6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176" fontId="3" fillId="0" borderId="28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76" fontId="3" fillId="0" borderId="29" xfId="0" applyNumberFormat="1" applyFont="1" applyFill="1" applyBorder="1" applyAlignment="1">
      <alignment horizontal="right" vertical="center" wrapText="1"/>
    </xf>
    <xf numFmtId="176" fontId="3" fillId="0" borderId="30" xfId="0" applyNumberFormat="1" applyFont="1" applyFill="1" applyBorder="1" applyAlignment="1">
      <alignment horizontal="right" vertical="center" wrapText="1"/>
    </xf>
    <xf numFmtId="176" fontId="3" fillId="0" borderId="31" xfId="0" applyNumberFormat="1" applyFont="1" applyFill="1" applyBorder="1" applyAlignment="1">
      <alignment horizontal="right" vertical="center" wrapText="1"/>
    </xf>
    <xf numFmtId="176" fontId="3" fillId="0" borderId="33" xfId="0" applyNumberFormat="1" applyFont="1" applyFill="1" applyBorder="1" applyAlignment="1">
      <alignment horizontal="right" vertical="center" wrapText="1"/>
    </xf>
    <xf numFmtId="176" fontId="3" fillId="0" borderId="68" xfId="0" applyNumberFormat="1" applyFont="1" applyFill="1" applyBorder="1" applyAlignment="1">
      <alignment horizontal="right" vertical="center" wrapText="1"/>
    </xf>
    <xf numFmtId="176" fontId="3" fillId="0" borderId="50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right" vertical="center" wrapText="1"/>
    </xf>
    <xf numFmtId="0" fontId="3" fillId="0" borderId="91" xfId="0" applyFont="1" applyFill="1" applyBorder="1" applyAlignment="1">
      <alignment horizontal="right" vertical="center" wrapText="1"/>
    </xf>
    <xf numFmtId="178" fontId="3" fillId="0" borderId="167" xfId="0" applyNumberFormat="1" applyFont="1" applyFill="1" applyBorder="1" applyAlignment="1">
      <alignment horizontal="right" vertical="center" wrapText="1"/>
    </xf>
    <xf numFmtId="178" fontId="3" fillId="0" borderId="68" xfId="0" applyNumberFormat="1" applyFont="1" applyFill="1" applyBorder="1" applyAlignment="1">
      <alignment horizontal="right" vertical="center" wrapText="1"/>
    </xf>
    <xf numFmtId="178" fontId="3" fillId="0" borderId="168" xfId="0" applyNumberFormat="1" applyFont="1" applyFill="1" applyBorder="1" applyAlignment="1">
      <alignment horizontal="right" vertical="center" wrapText="1"/>
    </xf>
    <xf numFmtId="178" fontId="3" fillId="0" borderId="96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99" xfId="0" applyFont="1" applyFill="1" applyBorder="1" applyAlignment="1">
      <alignment horizontal="right" vertical="center" wrapText="1"/>
    </xf>
    <xf numFmtId="0" fontId="3" fillId="0" borderId="165" xfId="0" applyFont="1" applyFill="1" applyBorder="1" applyAlignment="1">
      <alignment horizontal="right" vertical="center" wrapText="1"/>
    </xf>
    <xf numFmtId="0" fontId="3" fillId="0" borderId="162" xfId="0" applyFont="1" applyFill="1" applyBorder="1" applyAlignment="1">
      <alignment horizontal="right" vertical="center" wrapText="1"/>
    </xf>
    <xf numFmtId="178" fontId="3" fillId="0" borderId="29" xfId="0" applyNumberFormat="1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3" fillId="0" borderId="33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99" xfId="0" applyFont="1" applyFill="1" applyBorder="1" applyAlignment="1">
      <alignment horizontal="center" vertical="center" wrapText="1"/>
    </xf>
    <xf numFmtId="0" fontId="3" fillId="0" borderId="16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66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right" vertical="center" wrapText="1"/>
    </xf>
    <xf numFmtId="0" fontId="3" fillId="0" borderId="64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13" fillId="0" borderId="102" xfId="0" applyFont="1" applyFill="1" applyBorder="1" applyAlignment="1">
      <alignment horizontal="center" vertical="center" wrapText="1"/>
    </xf>
    <xf numFmtId="0" fontId="13" fillId="0" borderId="110" xfId="0" applyFont="1" applyFill="1" applyBorder="1" applyAlignment="1">
      <alignment horizontal="center" vertical="center" wrapText="1"/>
    </xf>
    <xf numFmtId="0" fontId="13" fillId="0" borderId="103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6" fillId="0" borderId="134" xfId="0" applyFont="1" applyFill="1" applyBorder="1" applyAlignment="1">
      <alignment horizontal="center" vertical="center"/>
    </xf>
    <xf numFmtId="0" fontId="16" fillId="0" borderId="135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13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13" fillId="0" borderId="80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85" xfId="0" applyFont="1" applyFill="1" applyBorder="1" applyAlignment="1">
      <alignment horizontal="center" vertical="center" wrapText="1"/>
    </xf>
    <xf numFmtId="0" fontId="13" fillId="0" borderId="132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13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6" fillId="0" borderId="85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42" xfId="0" applyFont="1" applyFill="1" applyBorder="1" applyAlignment="1">
      <alignment horizontal="center" vertical="center" wrapText="1"/>
    </xf>
    <xf numFmtId="0" fontId="13" fillId="0" borderId="143" xfId="0" applyFont="1" applyFill="1" applyBorder="1" applyAlignment="1">
      <alignment horizontal="center" vertical="center" wrapText="1"/>
    </xf>
    <xf numFmtId="38" fontId="13" fillId="0" borderId="51" xfId="2" applyFont="1" applyFill="1" applyBorder="1" applyAlignment="1">
      <alignment horizontal="right" vertical="center" wrapText="1"/>
    </xf>
    <xf numFmtId="38" fontId="13" fillId="0" borderId="53" xfId="2" applyFont="1" applyFill="1" applyBorder="1" applyAlignment="1">
      <alignment horizontal="right" vertical="center" wrapText="1"/>
    </xf>
    <xf numFmtId="0" fontId="13" fillId="0" borderId="144" xfId="0" applyFont="1" applyFill="1" applyBorder="1" applyAlignment="1">
      <alignment horizontal="center" vertical="center" wrapText="1"/>
    </xf>
    <xf numFmtId="38" fontId="13" fillId="0" borderId="173" xfId="2" applyFont="1" applyFill="1" applyBorder="1" applyAlignment="1">
      <alignment horizontal="center" vertical="center" wrapText="1"/>
    </xf>
    <xf numFmtId="38" fontId="13" fillId="0" borderId="176" xfId="2" applyFont="1" applyFill="1" applyBorder="1" applyAlignment="1">
      <alignment horizontal="center" vertical="center" wrapText="1"/>
    </xf>
    <xf numFmtId="38" fontId="13" fillId="0" borderId="175" xfId="2" applyFont="1" applyFill="1" applyBorder="1" applyAlignment="1">
      <alignment horizontal="center" vertical="center" wrapText="1"/>
    </xf>
    <xf numFmtId="181" fontId="13" fillId="0" borderId="173" xfId="2" applyNumberFormat="1" applyFont="1" applyFill="1" applyBorder="1" applyAlignment="1">
      <alignment horizontal="center" vertical="center" wrapText="1"/>
    </xf>
    <xf numFmtId="181" fontId="13" fillId="0" borderId="175" xfId="2" applyNumberFormat="1" applyFont="1" applyFill="1" applyBorder="1" applyAlignment="1">
      <alignment horizontal="center" vertical="center" wrapText="1"/>
    </xf>
    <xf numFmtId="38" fontId="13" fillId="0" borderId="102" xfId="2" applyFont="1" applyFill="1" applyBorder="1" applyAlignment="1">
      <alignment horizontal="center" vertical="center" wrapText="1"/>
    </xf>
    <xf numFmtId="38" fontId="13" fillId="0" borderId="139" xfId="2" applyFont="1" applyFill="1" applyBorder="1" applyAlignment="1">
      <alignment horizontal="center" vertical="center" wrapText="1"/>
    </xf>
    <xf numFmtId="38" fontId="13" fillId="0" borderId="174" xfId="2" applyFont="1" applyFill="1" applyBorder="1" applyAlignment="1">
      <alignment horizontal="center" vertical="center" wrapText="1"/>
    </xf>
    <xf numFmtId="38" fontId="13" fillId="0" borderId="102" xfId="2" applyFont="1" applyFill="1" applyBorder="1" applyAlignment="1">
      <alignment horizontal="right" vertical="center" wrapText="1"/>
    </xf>
    <xf numFmtId="38" fontId="13" fillId="0" borderId="103" xfId="2" applyFont="1" applyFill="1" applyBorder="1" applyAlignment="1">
      <alignment horizontal="right" vertical="center" wrapText="1"/>
    </xf>
    <xf numFmtId="0" fontId="13" fillId="0" borderId="139" xfId="0" applyFont="1" applyFill="1" applyBorder="1" applyAlignment="1">
      <alignment horizontal="center" vertical="center" wrapText="1"/>
    </xf>
    <xf numFmtId="0" fontId="13" fillId="0" borderId="140" xfId="0" applyFont="1" applyFill="1" applyBorder="1" applyAlignment="1">
      <alignment horizontal="center" vertical="center" shrinkToFit="1"/>
    </xf>
    <xf numFmtId="0" fontId="13" fillId="0" borderId="105" xfId="0" applyFont="1" applyFill="1" applyBorder="1" applyAlignment="1">
      <alignment horizontal="center" vertical="center" shrinkToFit="1"/>
    </xf>
    <xf numFmtId="0" fontId="13" fillId="0" borderId="104" xfId="0" applyFont="1" applyFill="1" applyBorder="1" applyAlignment="1">
      <alignment horizontal="center" vertical="center" wrapText="1"/>
    </xf>
    <xf numFmtId="0" fontId="13" fillId="0" borderId="105" xfId="0" applyFont="1" applyFill="1" applyBorder="1" applyAlignment="1">
      <alignment horizontal="center" vertical="center" wrapText="1"/>
    </xf>
    <xf numFmtId="38" fontId="13" fillId="0" borderId="104" xfId="2" applyFont="1" applyFill="1" applyBorder="1" applyAlignment="1">
      <alignment horizontal="right" vertical="center" wrapText="1"/>
    </xf>
    <xf numFmtId="38" fontId="13" fillId="0" borderId="105" xfId="2" applyFont="1" applyFill="1" applyBorder="1" applyAlignment="1">
      <alignment horizontal="right" vertical="center" wrapText="1"/>
    </xf>
    <xf numFmtId="0" fontId="13" fillId="0" borderId="138" xfId="0" applyFont="1" applyFill="1" applyBorder="1" applyAlignment="1">
      <alignment horizontal="center" vertical="center" shrinkToFit="1"/>
    </xf>
    <xf numFmtId="0" fontId="13" fillId="0" borderId="103" xfId="0" applyFont="1" applyFill="1" applyBorder="1" applyAlignment="1">
      <alignment horizontal="center" vertical="center" shrinkToFit="1"/>
    </xf>
    <xf numFmtId="0" fontId="13" fillId="0" borderId="141" xfId="0" applyFont="1" applyFill="1" applyBorder="1" applyAlignment="1">
      <alignment horizontal="center" vertical="center" wrapText="1"/>
    </xf>
    <xf numFmtId="0" fontId="13" fillId="0" borderId="102" xfId="0" applyFont="1" applyFill="1" applyBorder="1" applyAlignment="1">
      <alignment horizontal="center" vertical="center" shrinkToFit="1"/>
    </xf>
    <xf numFmtId="38" fontId="13" fillId="0" borderId="102" xfId="2" applyFont="1" applyFill="1" applyBorder="1" applyAlignment="1">
      <alignment horizontal="right" vertical="center" shrinkToFit="1"/>
    </xf>
    <xf numFmtId="38" fontId="13" fillId="0" borderId="103" xfId="2" applyFont="1" applyFill="1" applyBorder="1" applyAlignment="1">
      <alignment horizontal="right" vertical="center" shrinkToFit="1"/>
    </xf>
    <xf numFmtId="0" fontId="13" fillId="0" borderId="139" xfId="0" applyFont="1" applyFill="1" applyBorder="1" applyAlignment="1">
      <alignment horizontal="center" vertical="center" shrinkToFit="1"/>
    </xf>
    <xf numFmtId="182" fontId="13" fillId="0" borderId="102" xfId="0" applyNumberFormat="1" applyFont="1" applyFill="1" applyBorder="1" applyAlignment="1">
      <alignment horizontal="center" vertical="center" shrinkToFit="1"/>
    </xf>
    <xf numFmtId="182" fontId="13" fillId="0" borderId="103" xfId="0" applyNumberFormat="1" applyFont="1" applyFill="1" applyBorder="1" applyAlignment="1">
      <alignment horizontal="center" vertical="center" shrinkToFit="1"/>
    </xf>
    <xf numFmtId="0" fontId="13" fillId="0" borderId="107" xfId="0" applyFont="1" applyFill="1" applyBorder="1" applyAlignment="1">
      <alignment horizontal="center" vertical="center" shrinkToFit="1"/>
    </xf>
    <xf numFmtId="0" fontId="13" fillId="0" borderId="109" xfId="0" applyFont="1" applyFill="1" applyBorder="1" applyAlignment="1">
      <alignment horizontal="center" vertical="center" shrinkToFit="1"/>
    </xf>
    <xf numFmtId="0" fontId="15" fillId="0" borderId="80" xfId="0" applyFont="1" applyFill="1" applyBorder="1" applyAlignment="1">
      <alignment horizontal="center" vertical="center" wrapText="1"/>
    </xf>
    <xf numFmtId="0" fontId="15" fillId="0" borderId="85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3" fillId="0" borderId="136" xfId="0" applyFont="1" applyFill="1" applyBorder="1" applyAlignment="1">
      <alignment horizontal="center" vertical="center" shrinkToFit="1"/>
    </xf>
    <xf numFmtId="0" fontId="13" fillId="0" borderId="101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38" fontId="13" fillId="0" borderId="100" xfId="2" applyFont="1" applyFill="1" applyBorder="1" applyAlignment="1">
      <alignment horizontal="right" vertical="center" shrinkToFit="1"/>
    </xf>
    <xf numFmtId="38" fontId="13" fillId="0" borderId="101" xfId="2" applyFont="1" applyFill="1" applyBorder="1" applyAlignment="1">
      <alignment horizontal="right" vertical="center" shrinkToFit="1"/>
    </xf>
    <xf numFmtId="182" fontId="13" fillId="0" borderId="100" xfId="0" applyNumberFormat="1" applyFont="1" applyFill="1" applyBorder="1" applyAlignment="1">
      <alignment horizontal="center" vertical="center" shrinkToFit="1"/>
    </xf>
    <xf numFmtId="182" fontId="13" fillId="0" borderId="101" xfId="0" applyNumberFormat="1" applyFont="1" applyFill="1" applyBorder="1" applyAlignment="1">
      <alignment horizontal="center" vertical="center" shrinkToFit="1"/>
    </xf>
    <xf numFmtId="0" fontId="13" fillId="0" borderId="100" xfId="0" applyFont="1" applyFill="1" applyBorder="1" applyAlignment="1">
      <alignment horizontal="center" vertical="center" shrinkToFit="1"/>
    </xf>
    <xf numFmtId="0" fontId="13" fillId="0" borderId="137" xfId="0" applyFont="1" applyFill="1" applyBorder="1" applyAlignment="1">
      <alignment horizontal="center" vertical="center" shrinkToFi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80" xfId="0" applyFont="1" applyFill="1" applyBorder="1" applyAlignment="1">
      <alignment horizontal="center" vertical="center" shrinkToFit="1"/>
    </xf>
    <xf numFmtId="0" fontId="15" fillId="0" borderId="85" xfId="0" applyFont="1" applyFill="1" applyBorder="1" applyAlignment="1">
      <alignment horizontal="center" vertical="center" shrinkToFit="1"/>
    </xf>
    <xf numFmtId="0" fontId="13" fillId="0" borderId="140" xfId="0" applyFont="1" applyFill="1" applyBorder="1" applyAlignment="1">
      <alignment horizontal="center" vertical="center" wrapText="1"/>
    </xf>
    <xf numFmtId="0" fontId="13" fillId="0" borderId="111" xfId="0" applyFont="1" applyFill="1" applyBorder="1" applyAlignment="1">
      <alignment horizontal="center" vertical="center" wrapText="1"/>
    </xf>
    <xf numFmtId="0" fontId="13" fillId="0" borderId="104" xfId="0" applyFont="1" applyFill="1" applyBorder="1" applyAlignment="1">
      <alignment horizontal="right" vertical="center" wrapText="1"/>
    </xf>
    <xf numFmtId="0" fontId="13" fillId="0" borderId="105" xfId="0" applyFont="1" applyFill="1" applyBorder="1" applyAlignment="1">
      <alignment horizontal="right" vertical="center" wrapText="1"/>
    </xf>
    <xf numFmtId="38" fontId="13" fillId="0" borderId="111" xfId="2" applyFont="1" applyFill="1" applyBorder="1" applyAlignment="1">
      <alignment horizontal="right" vertical="center" wrapText="1"/>
    </xf>
    <xf numFmtId="0" fontId="13" fillId="0" borderId="104" xfId="0" applyFont="1" applyFill="1" applyBorder="1" applyAlignment="1">
      <alignment horizontal="left" vertical="center" wrapText="1"/>
    </xf>
    <xf numFmtId="0" fontId="13" fillId="0" borderId="111" xfId="0" applyFont="1" applyFill="1" applyBorder="1" applyAlignment="1">
      <alignment horizontal="left" vertical="center" wrapText="1"/>
    </xf>
    <xf numFmtId="0" fontId="13" fillId="0" borderId="141" xfId="0" applyFont="1" applyFill="1" applyBorder="1" applyAlignment="1">
      <alignment horizontal="left" vertical="center" wrapText="1"/>
    </xf>
    <xf numFmtId="0" fontId="13" fillId="0" borderId="146" xfId="0" applyFont="1" applyFill="1" applyBorder="1" applyAlignment="1">
      <alignment horizontal="center" vertical="center" wrapText="1"/>
    </xf>
    <xf numFmtId="38" fontId="13" fillId="0" borderId="52" xfId="2" applyFont="1" applyFill="1" applyBorder="1" applyAlignment="1">
      <alignment horizontal="right"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3" fillId="0" borderId="52" xfId="0" applyFont="1" applyFill="1" applyBorder="1" applyAlignment="1">
      <alignment horizontal="left" vertical="center" wrapText="1"/>
    </xf>
    <xf numFmtId="0" fontId="13" fillId="0" borderId="54" xfId="0" applyFont="1" applyFill="1" applyBorder="1" applyAlignment="1">
      <alignment horizontal="left" vertical="center" wrapText="1"/>
    </xf>
    <xf numFmtId="0" fontId="13" fillId="0" borderId="138" xfId="0" applyFont="1" applyFill="1" applyBorder="1" applyAlignment="1">
      <alignment horizontal="center" vertical="center" wrapText="1"/>
    </xf>
    <xf numFmtId="0" fontId="13" fillId="0" borderId="102" xfId="0" applyFont="1" applyFill="1" applyBorder="1" applyAlignment="1">
      <alignment horizontal="right" vertical="center" wrapText="1"/>
    </xf>
    <xf numFmtId="0" fontId="13" fillId="0" borderId="103" xfId="0" applyFont="1" applyFill="1" applyBorder="1" applyAlignment="1">
      <alignment horizontal="right" vertical="center" wrapText="1"/>
    </xf>
    <xf numFmtId="38" fontId="13" fillId="0" borderId="110" xfId="2" applyFont="1" applyFill="1" applyBorder="1" applyAlignment="1">
      <alignment horizontal="right" vertical="center" wrapText="1"/>
    </xf>
    <xf numFmtId="0" fontId="13" fillId="0" borderId="102" xfId="0" applyFont="1" applyFill="1" applyBorder="1" applyAlignment="1">
      <alignment horizontal="left" vertical="center" wrapText="1"/>
    </xf>
    <xf numFmtId="0" fontId="13" fillId="0" borderId="110" xfId="0" applyFont="1" applyFill="1" applyBorder="1" applyAlignment="1">
      <alignment horizontal="left" vertical="center" wrapText="1"/>
    </xf>
    <xf numFmtId="0" fontId="13" fillId="0" borderId="139" xfId="0" applyFont="1" applyFill="1" applyBorder="1" applyAlignment="1">
      <alignment horizontal="left" vertical="center" wrapText="1"/>
    </xf>
    <xf numFmtId="0" fontId="13" fillId="0" borderId="110" xfId="0" applyFont="1" applyFill="1" applyBorder="1" applyAlignment="1">
      <alignment horizontal="center" vertical="center" shrinkToFit="1"/>
    </xf>
    <xf numFmtId="0" fontId="13" fillId="0" borderId="102" xfId="0" applyFont="1" applyFill="1" applyBorder="1" applyAlignment="1">
      <alignment horizontal="right" vertical="center" shrinkToFit="1"/>
    </xf>
    <xf numFmtId="0" fontId="13" fillId="0" borderId="103" xfId="0" applyFont="1" applyFill="1" applyBorder="1" applyAlignment="1">
      <alignment horizontal="right" vertical="center" shrinkToFit="1"/>
    </xf>
    <xf numFmtId="38" fontId="13" fillId="0" borderId="110" xfId="2" applyFont="1" applyFill="1" applyBorder="1" applyAlignment="1">
      <alignment horizontal="right" vertical="center" shrinkToFit="1"/>
    </xf>
    <xf numFmtId="0" fontId="13" fillId="0" borderId="102" xfId="0" applyFont="1" applyFill="1" applyBorder="1" applyAlignment="1">
      <alignment horizontal="left" vertical="center" shrinkToFit="1"/>
    </xf>
    <xf numFmtId="0" fontId="13" fillId="0" borderId="110" xfId="0" applyFont="1" applyFill="1" applyBorder="1" applyAlignment="1">
      <alignment horizontal="left" vertical="center" shrinkToFit="1"/>
    </xf>
    <xf numFmtId="0" fontId="13" fillId="0" borderId="139" xfId="0" applyFont="1" applyFill="1" applyBorder="1" applyAlignment="1">
      <alignment horizontal="left" vertical="center" shrinkToFit="1"/>
    </xf>
    <xf numFmtId="0" fontId="13" fillId="0" borderId="106" xfId="0" applyFont="1" applyFill="1" applyBorder="1" applyAlignment="1">
      <alignment horizontal="center" vertical="center" shrinkToFit="1"/>
    </xf>
    <xf numFmtId="0" fontId="13" fillId="0" borderId="100" xfId="0" applyFont="1" applyFill="1" applyBorder="1" applyAlignment="1">
      <alignment horizontal="right" vertical="center" shrinkToFit="1"/>
    </xf>
    <xf numFmtId="0" fontId="13" fillId="0" borderId="101" xfId="0" applyFont="1" applyFill="1" applyBorder="1" applyAlignment="1">
      <alignment horizontal="right" vertical="center" shrinkToFit="1"/>
    </xf>
    <xf numFmtId="38" fontId="13" fillId="0" borderId="106" xfId="2" applyFont="1" applyFill="1" applyBorder="1" applyAlignment="1">
      <alignment horizontal="right" vertical="center" shrinkToFit="1"/>
    </xf>
    <xf numFmtId="0" fontId="13" fillId="0" borderId="100" xfId="0" applyFont="1" applyFill="1" applyBorder="1" applyAlignment="1">
      <alignment horizontal="left" vertical="center" shrinkToFit="1"/>
    </xf>
    <xf numFmtId="0" fontId="13" fillId="0" borderId="106" xfId="0" applyFont="1" applyFill="1" applyBorder="1" applyAlignment="1">
      <alignment horizontal="left" vertical="center" shrinkToFit="1"/>
    </xf>
    <xf numFmtId="0" fontId="13" fillId="0" borderId="137" xfId="0" applyFont="1" applyFill="1" applyBorder="1" applyAlignment="1">
      <alignment horizontal="left" vertical="center" shrinkToFit="1"/>
    </xf>
    <xf numFmtId="0" fontId="13" fillId="0" borderId="145" xfId="0" applyFont="1" applyFill="1" applyBorder="1" applyAlignment="1">
      <alignment horizontal="center" vertical="center" shrinkToFit="1"/>
    </xf>
    <xf numFmtId="0" fontId="13" fillId="0" borderId="108" xfId="0" applyFont="1" applyFill="1" applyBorder="1" applyAlignment="1">
      <alignment horizontal="center" vertical="center" shrinkToFit="1"/>
    </xf>
    <xf numFmtId="38" fontId="13" fillId="0" borderId="54" xfId="2" applyFont="1" applyFill="1" applyBorder="1" applyAlignment="1">
      <alignment horizontal="right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142" xfId="0" applyFont="1" applyFill="1" applyBorder="1" applyAlignment="1">
      <alignment horizontal="right" vertical="center" wrapText="1"/>
    </xf>
    <xf numFmtId="0" fontId="13" fillId="0" borderId="143" xfId="0" applyFont="1" applyFill="1" applyBorder="1" applyAlignment="1">
      <alignment horizontal="right" vertical="center" wrapText="1"/>
    </xf>
    <xf numFmtId="38" fontId="13" fillId="0" borderId="142" xfId="2" applyFont="1" applyFill="1" applyBorder="1" applyAlignment="1">
      <alignment horizontal="center" vertical="center" wrapText="1"/>
    </xf>
    <xf numFmtId="38" fontId="13" fillId="0" borderId="146" xfId="2" applyFont="1" applyFill="1" applyBorder="1" applyAlignment="1">
      <alignment horizontal="center" vertical="center" wrapText="1"/>
    </xf>
    <xf numFmtId="38" fontId="13" fillId="0" borderId="143" xfId="2" applyFont="1" applyFill="1" applyBorder="1" applyAlignment="1">
      <alignment horizontal="center" vertical="center" wrapText="1"/>
    </xf>
    <xf numFmtId="181" fontId="13" fillId="0" borderId="142" xfId="2" applyNumberFormat="1" applyFont="1" applyFill="1" applyBorder="1" applyAlignment="1">
      <alignment horizontal="right" vertical="center" wrapText="1"/>
    </xf>
    <xf numFmtId="181" fontId="13" fillId="0" borderId="143" xfId="2" applyNumberFormat="1" applyFont="1" applyFill="1" applyBorder="1" applyAlignment="1">
      <alignment horizontal="right" vertical="center" wrapText="1"/>
    </xf>
    <xf numFmtId="38" fontId="13" fillId="0" borderId="139" xfId="2" applyFont="1" applyFill="1" applyBorder="1" applyAlignment="1">
      <alignment horizontal="right" vertical="center" wrapText="1"/>
    </xf>
    <xf numFmtId="38" fontId="13" fillId="0" borderId="110" xfId="2" applyFont="1" applyFill="1" applyBorder="1" applyAlignment="1">
      <alignment horizontal="center" vertical="center" wrapText="1"/>
    </xf>
    <xf numFmtId="38" fontId="13" fillId="0" borderId="103" xfId="2" applyFont="1" applyFill="1" applyBorder="1" applyAlignment="1">
      <alignment horizontal="center" vertical="center" wrapText="1"/>
    </xf>
    <xf numFmtId="181" fontId="13" fillId="0" borderId="102" xfId="2" applyNumberFormat="1" applyFont="1" applyFill="1" applyBorder="1" applyAlignment="1">
      <alignment horizontal="right" vertical="center" wrapText="1"/>
    </xf>
    <xf numFmtId="181" fontId="13" fillId="0" borderId="103" xfId="2" applyNumberFormat="1" applyFont="1" applyFill="1" applyBorder="1" applyAlignment="1">
      <alignment horizontal="right" vertical="center" wrapText="1"/>
    </xf>
    <xf numFmtId="183" fontId="13" fillId="0" borderId="102" xfId="2" applyNumberFormat="1" applyFont="1" applyFill="1" applyBorder="1" applyAlignment="1">
      <alignment horizontal="right" vertical="center" wrapText="1"/>
    </xf>
    <xf numFmtId="183" fontId="13" fillId="0" borderId="103" xfId="2" applyNumberFormat="1" applyFont="1" applyFill="1" applyBorder="1" applyAlignment="1">
      <alignment horizontal="right" vertical="center" wrapText="1"/>
    </xf>
    <xf numFmtId="0" fontId="13" fillId="0" borderId="65" xfId="0" applyFont="1" applyFill="1" applyBorder="1" applyAlignment="1">
      <alignment horizontal="center" vertical="center" wrapText="1"/>
    </xf>
    <xf numFmtId="0" fontId="13" fillId="0" borderId="136" xfId="0" applyFont="1" applyFill="1" applyBorder="1" applyAlignment="1">
      <alignment horizontal="center" vertical="center" wrapText="1"/>
    </xf>
    <xf numFmtId="0" fontId="13" fillId="0" borderId="106" xfId="0" applyFont="1" applyFill="1" applyBorder="1" applyAlignment="1">
      <alignment horizontal="center" vertical="center" wrapText="1"/>
    </xf>
    <xf numFmtId="0" fontId="13" fillId="0" borderId="101" xfId="0" applyFont="1" applyFill="1" applyBorder="1" applyAlignment="1">
      <alignment horizontal="center" vertical="center" wrapText="1"/>
    </xf>
    <xf numFmtId="0" fontId="13" fillId="0" borderId="100" xfId="0" applyFont="1" applyFill="1" applyBorder="1" applyAlignment="1">
      <alignment horizontal="center" vertical="center" wrapText="1"/>
    </xf>
    <xf numFmtId="38" fontId="13" fillId="0" borderId="100" xfId="2" applyFont="1" applyFill="1" applyBorder="1" applyAlignment="1">
      <alignment horizontal="right" vertical="center" wrapText="1"/>
    </xf>
    <xf numFmtId="38" fontId="13" fillId="0" borderId="106" xfId="2" applyFont="1" applyFill="1" applyBorder="1" applyAlignment="1">
      <alignment horizontal="right" vertical="center" wrapText="1"/>
    </xf>
    <xf numFmtId="38" fontId="13" fillId="0" borderId="101" xfId="2" applyFont="1" applyFill="1" applyBorder="1" applyAlignment="1">
      <alignment horizontal="right" vertical="center" wrapText="1"/>
    </xf>
    <xf numFmtId="181" fontId="13" fillId="0" borderId="100" xfId="2" applyNumberFormat="1" applyFont="1" applyFill="1" applyBorder="1" applyAlignment="1">
      <alignment horizontal="right" vertical="center" wrapText="1"/>
    </xf>
    <xf numFmtId="181" fontId="13" fillId="0" borderId="101" xfId="2" applyNumberFormat="1" applyFont="1" applyFill="1" applyBorder="1" applyAlignment="1">
      <alignment horizontal="right" vertical="center" wrapText="1"/>
    </xf>
    <xf numFmtId="181" fontId="13" fillId="0" borderId="12" xfId="2" applyNumberFormat="1" applyFont="1" applyFill="1" applyBorder="1" applyAlignment="1">
      <alignment horizontal="right" vertical="center" wrapText="1"/>
    </xf>
    <xf numFmtId="181" fontId="13" fillId="0" borderId="14" xfId="2" applyNumberFormat="1" applyFont="1" applyFill="1" applyBorder="1" applyAlignment="1">
      <alignment horizontal="right" vertical="center" wrapText="1"/>
    </xf>
    <xf numFmtId="38" fontId="13" fillId="0" borderId="137" xfId="2" applyFont="1" applyFill="1" applyBorder="1" applyAlignment="1">
      <alignment horizontal="right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77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wrapText="1"/>
    </xf>
    <xf numFmtId="38" fontId="13" fillId="0" borderId="142" xfId="2" applyFont="1" applyFill="1" applyBorder="1" applyAlignment="1">
      <alignment horizontal="right" vertical="center" wrapText="1"/>
    </xf>
    <xf numFmtId="38" fontId="13" fillId="0" borderId="146" xfId="2" applyFont="1" applyFill="1" applyBorder="1" applyAlignment="1">
      <alignment horizontal="right" vertical="center" wrapText="1"/>
    </xf>
    <xf numFmtId="38" fontId="13" fillId="0" borderId="143" xfId="2" applyFont="1" applyFill="1" applyBorder="1" applyAlignment="1">
      <alignment horizontal="right" vertical="center" wrapText="1"/>
    </xf>
    <xf numFmtId="181" fontId="13" fillId="0" borderId="51" xfId="2" applyNumberFormat="1" applyFont="1" applyFill="1" applyBorder="1" applyAlignment="1">
      <alignment horizontal="right" vertical="center" wrapText="1"/>
    </xf>
    <xf numFmtId="181" fontId="13" fillId="0" borderId="53" xfId="2" applyNumberFormat="1" applyFont="1" applyFill="1" applyBorder="1" applyAlignment="1">
      <alignment horizontal="right" vertical="center" wrapText="1"/>
    </xf>
    <xf numFmtId="176" fontId="13" fillId="0" borderId="142" xfId="0" applyNumberFormat="1" applyFont="1" applyFill="1" applyBorder="1" applyAlignment="1">
      <alignment horizontal="right" vertical="center" wrapText="1"/>
    </xf>
    <xf numFmtId="176" fontId="13" fillId="0" borderId="143" xfId="0" applyNumberFormat="1" applyFont="1" applyFill="1" applyBorder="1" applyAlignment="1">
      <alignment horizontal="right" vertical="center" wrapText="1"/>
    </xf>
    <xf numFmtId="38" fontId="13" fillId="0" borderId="51" xfId="2" applyFont="1" applyFill="1" applyBorder="1" applyAlignment="1">
      <alignment horizontal="right" vertical="center"/>
    </xf>
    <xf numFmtId="38" fontId="13" fillId="0" borderId="52" xfId="2" applyFont="1" applyFill="1" applyBorder="1" applyAlignment="1">
      <alignment horizontal="right" vertical="center"/>
    </xf>
    <xf numFmtId="38" fontId="13" fillId="0" borderId="53" xfId="2" applyFont="1" applyFill="1" applyBorder="1" applyAlignment="1">
      <alignment horizontal="right" vertical="center"/>
    </xf>
    <xf numFmtId="176" fontId="13" fillId="0" borderId="102" xfId="0" applyNumberFormat="1" applyFont="1" applyFill="1" applyBorder="1" applyAlignment="1">
      <alignment horizontal="right" vertical="center" wrapText="1"/>
    </xf>
    <xf numFmtId="176" fontId="13" fillId="0" borderId="103" xfId="0" applyNumberFormat="1" applyFont="1" applyFill="1" applyBorder="1" applyAlignment="1">
      <alignment horizontal="right" vertical="center" wrapText="1"/>
    </xf>
    <xf numFmtId="38" fontId="13" fillId="0" borderId="18" xfId="2" applyFont="1" applyFill="1" applyBorder="1" applyAlignment="1">
      <alignment horizontal="right" vertical="center" wrapText="1"/>
    </xf>
    <xf numFmtId="38" fontId="13" fillId="0" borderId="88" xfId="2" applyFont="1" applyFill="1" applyBorder="1" applyAlignment="1">
      <alignment horizontal="right" vertical="center" wrapText="1"/>
    </xf>
    <xf numFmtId="38" fontId="13" fillId="0" borderId="102" xfId="2" applyFont="1" applyFill="1" applyBorder="1" applyAlignment="1">
      <alignment horizontal="right" vertical="center"/>
    </xf>
    <xf numFmtId="38" fontId="13" fillId="0" borderId="110" xfId="2" applyFont="1" applyFill="1" applyBorder="1" applyAlignment="1">
      <alignment horizontal="right" vertical="center"/>
    </xf>
    <xf numFmtId="38" fontId="13" fillId="0" borderId="103" xfId="2" applyFont="1" applyFill="1" applyBorder="1" applyAlignment="1">
      <alignment horizontal="right" vertical="center"/>
    </xf>
    <xf numFmtId="0" fontId="15" fillId="0" borderId="104" xfId="0" applyFont="1" applyFill="1" applyBorder="1" applyAlignment="1">
      <alignment horizontal="center" vertical="center" shrinkToFit="1"/>
    </xf>
    <xf numFmtId="0" fontId="15" fillId="0" borderId="105" xfId="0" applyFont="1" applyFill="1" applyBorder="1" applyAlignment="1">
      <alignment horizontal="center" vertical="center" shrinkToFit="1"/>
    </xf>
    <xf numFmtId="176" fontId="13" fillId="0" borderId="104" xfId="0" applyNumberFormat="1" applyFont="1" applyFill="1" applyBorder="1" applyAlignment="1">
      <alignment horizontal="right" vertical="center" wrapText="1"/>
    </xf>
    <xf numFmtId="176" fontId="13" fillId="0" borderId="105" xfId="0" applyNumberFormat="1" applyFont="1" applyFill="1" applyBorder="1" applyAlignment="1">
      <alignment horizontal="right" vertical="center" wrapText="1"/>
    </xf>
    <xf numFmtId="38" fontId="13" fillId="0" borderId="121" xfId="2" applyFont="1" applyFill="1" applyBorder="1" applyAlignment="1">
      <alignment horizontal="right" vertical="center" wrapText="1"/>
    </xf>
    <xf numFmtId="38" fontId="13" fillId="0" borderId="122" xfId="2" applyFont="1" applyFill="1" applyBorder="1" applyAlignment="1">
      <alignment horizontal="right" vertical="center" wrapText="1"/>
    </xf>
    <xf numFmtId="38" fontId="13" fillId="0" borderId="104" xfId="2" applyFont="1" applyFill="1" applyBorder="1" applyAlignment="1">
      <alignment horizontal="right" vertical="center"/>
    </xf>
    <xf numFmtId="38" fontId="13" fillId="0" borderId="111" xfId="2" applyFont="1" applyFill="1" applyBorder="1" applyAlignment="1">
      <alignment horizontal="right" vertical="center"/>
    </xf>
    <xf numFmtId="38" fontId="13" fillId="0" borderId="105" xfId="2" applyFont="1" applyFill="1" applyBorder="1" applyAlignment="1">
      <alignment horizontal="right" vertical="center"/>
    </xf>
    <xf numFmtId="38" fontId="13" fillId="0" borderId="141" xfId="2" applyFont="1" applyFill="1" applyBorder="1" applyAlignment="1">
      <alignment horizontal="right" vertical="center" wrapText="1"/>
    </xf>
    <xf numFmtId="0" fontId="17" fillId="0" borderId="102" xfId="0" applyFont="1" applyFill="1" applyBorder="1" applyAlignment="1">
      <alignment horizontal="center" vertical="center" shrinkToFit="1"/>
    </xf>
    <xf numFmtId="0" fontId="17" fillId="0" borderId="103" xfId="0" applyFont="1" applyFill="1" applyBorder="1" applyAlignment="1">
      <alignment horizontal="center" vertical="center" shrinkToFit="1"/>
    </xf>
    <xf numFmtId="180" fontId="13" fillId="0" borderId="102" xfId="2" applyNumberFormat="1" applyFont="1" applyFill="1" applyBorder="1" applyAlignment="1">
      <alignment horizontal="right" vertical="center" wrapText="1"/>
    </xf>
    <xf numFmtId="180" fontId="13" fillId="0" borderId="110" xfId="2" applyNumberFormat="1" applyFont="1" applyFill="1" applyBorder="1" applyAlignment="1">
      <alignment horizontal="right" vertical="center" wrapText="1"/>
    </xf>
    <xf numFmtId="180" fontId="13" fillId="0" borderId="139" xfId="2" applyNumberFormat="1" applyFont="1" applyFill="1" applyBorder="1" applyAlignment="1">
      <alignment horizontal="right" vertical="center" wrapText="1"/>
    </xf>
    <xf numFmtId="38" fontId="13" fillId="0" borderId="107" xfId="2" applyFont="1" applyFill="1" applyBorder="1" applyAlignment="1">
      <alignment horizontal="right" vertical="center" wrapText="1"/>
    </xf>
    <xf numFmtId="38" fontId="13" fillId="0" borderId="109" xfId="2" applyFont="1" applyFill="1" applyBorder="1" applyAlignment="1">
      <alignment horizontal="right" vertical="center" wrapText="1"/>
    </xf>
    <xf numFmtId="179" fontId="13" fillId="0" borderId="18" xfId="0" applyNumberFormat="1" applyFont="1" applyFill="1" applyBorder="1" applyAlignment="1">
      <alignment horizontal="right" vertical="center" wrapText="1"/>
    </xf>
    <xf numFmtId="179" fontId="13" fillId="0" borderId="88" xfId="0" applyNumberFormat="1" applyFont="1" applyFill="1" applyBorder="1" applyAlignment="1">
      <alignment horizontal="right" vertical="center" wrapText="1"/>
    </xf>
    <xf numFmtId="184" fontId="13" fillId="0" borderId="102" xfId="2" applyNumberFormat="1" applyFont="1" applyFill="1" applyBorder="1" applyAlignment="1">
      <alignment horizontal="right" vertical="center" wrapText="1"/>
    </xf>
    <xf numFmtId="184" fontId="13" fillId="0" borderId="103" xfId="2" applyNumberFormat="1" applyFont="1" applyFill="1" applyBorder="1" applyAlignment="1">
      <alignment horizontal="right" vertical="center" wrapText="1"/>
    </xf>
    <xf numFmtId="38" fontId="13" fillId="0" borderId="114" xfId="2" applyFont="1" applyFill="1" applyBorder="1" applyAlignment="1">
      <alignment horizontal="right" vertical="center" wrapText="1"/>
    </xf>
    <xf numFmtId="38" fontId="13" fillId="0" borderId="115" xfId="2" applyFont="1" applyFill="1" applyBorder="1" applyAlignment="1">
      <alignment horizontal="right" vertical="center" wrapText="1"/>
    </xf>
    <xf numFmtId="38" fontId="13" fillId="0" borderId="150" xfId="2" applyFont="1" applyFill="1" applyBorder="1" applyAlignment="1">
      <alignment horizontal="right" vertical="center" wrapText="1"/>
    </xf>
    <xf numFmtId="0" fontId="13" fillId="0" borderId="151" xfId="0" applyFont="1" applyFill="1" applyBorder="1" applyAlignment="1">
      <alignment horizontal="center" vertical="center" textRotation="255" wrapText="1"/>
    </xf>
    <xf numFmtId="0" fontId="13" fillId="0" borderId="148" xfId="0" applyFont="1" applyFill="1" applyBorder="1" applyAlignment="1">
      <alignment horizontal="center" vertical="center" textRotation="255" wrapText="1"/>
    </xf>
    <xf numFmtId="0" fontId="13" fillId="0" borderId="153" xfId="0" applyFont="1" applyFill="1" applyBorder="1" applyAlignment="1">
      <alignment horizontal="center" vertical="center" textRotation="255" wrapText="1"/>
    </xf>
    <xf numFmtId="0" fontId="13" fillId="0" borderId="118" xfId="0" applyFont="1" applyFill="1" applyBorder="1" applyAlignment="1">
      <alignment horizontal="center" vertical="center" shrinkToFit="1"/>
    </xf>
    <xf numFmtId="0" fontId="13" fillId="0" borderId="120" xfId="0" applyFont="1" applyFill="1" applyBorder="1" applyAlignment="1">
      <alignment horizontal="center" vertical="center" shrinkToFit="1"/>
    </xf>
    <xf numFmtId="176" fontId="13" fillId="0" borderId="129" xfId="0" applyNumberFormat="1" applyFont="1" applyFill="1" applyBorder="1" applyAlignment="1">
      <alignment horizontal="right" vertical="center" wrapText="1"/>
    </xf>
    <xf numFmtId="176" fontId="13" fillId="0" borderId="130" xfId="0" applyNumberFormat="1" applyFont="1" applyFill="1" applyBorder="1" applyAlignment="1">
      <alignment horizontal="right" vertical="center" wrapText="1"/>
    </xf>
    <xf numFmtId="38" fontId="13" fillId="0" borderId="129" xfId="2" applyFont="1" applyFill="1" applyBorder="1" applyAlignment="1">
      <alignment horizontal="right" vertical="center" wrapText="1"/>
    </xf>
    <xf numFmtId="38" fontId="13" fillId="0" borderId="130" xfId="2" applyFont="1" applyFill="1" applyBorder="1" applyAlignment="1">
      <alignment horizontal="right" vertical="center" wrapText="1"/>
    </xf>
    <xf numFmtId="38" fontId="13" fillId="0" borderId="118" xfId="2" applyFont="1" applyFill="1" applyBorder="1" applyAlignment="1">
      <alignment horizontal="right" vertical="center" wrapText="1"/>
    </xf>
    <xf numFmtId="38" fontId="13" fillId="0" borderId="120" xfId="2" applyFont="1" applyFill="1" applyBorder="1" applyAlignment="1">
      <alignment horizontal="right" vertical="center" wrapText="1"/>
    </xf>
    <xf numFmtId="38" fontId="13" fillId="0" borderId="119" xfId="2" applyFont="1" applyFill="1" applyBorder="1" applyAlignment="1">
      <alignment horizontal="right" vertical="center" wrapText="1"/>
    </xf>
    <xf numFmtId="38" fontId="13" fillId="0" borderId="118" xfId="2" applyFont="1" applyFill="1" applyBorder="1" applyAlignment="1">
      <alignment horizontal="right" vertical="center"/>
    </xf>
    <xf numFmtId="38" fontId="13" fillId="0" borderId="119" xfId="2" applyFont="1" applyFill="1" applyBorder="1" applyAlignment="1">
      <alignment horizontal="right" vertical="center"/>
    </xf>
    <xf numFmtId="38" fontId="13" fillId="0" borderId="120" xfId="2" applyFont="1" applyFill="1" applyBorder="1" applyAlignment="1">
      <alignment horizontal="right" vertical="center"/>
    </xf>
    <xf numFmtId="38" fontId="13" fillId="0" borderId="152" xfId="2" applyFont="1" applyFill="1" applyBorder="1" applyAlignment="1">
      <alignment horizontal="right" vertical="center" wrapText="1"/>
    </xf>
    <xf numFmtId="0" fontId="13" fillId="0" borderId="114" xfId="0" applyFont="1" applyFill="1" applyBorder="1" applyAlignment="1">
      <alignment horizontal="center" vertical="center" shrinkToFit="1"/>
    </xf>
    <xf numFmtId="0" fontId="13" fillId="0" borderId="116" xfId="0" applyFont="1" applyFill="1" applyBorder="1" applyAlignment="1">
      <alignment horizontal="center" vertical="center" shrinkToFit="1"/>
    </xf>
    <xf numFmtId="176" fontId="13" fillId="0" borderId="123" xfId="0" applyNumberFormat="1" applyFont="1" applyFill="1" applyBorder="1" applyAlignment="1">
      <alignment horizontal="right" vertical="center" wrapText="1"/>
    </xf>
    <xf numFmtId="176" fontId="13" fillId="0" borderId="124" xfId="0" applyNumberFormat="1" applyFont="1" applyFill="1" applyBorder="1" applyAlignment="1">
      <alignment horizontal="right" vertical="center" wrapText="1"/>
    </xf>
    <xf numFmtId="38" fontId="13" fillId="0" borderId="123" xfId="2" applyFont="1" applyFill="1" applyBorder="1" applyAlignment="1">
      <alignment horizontal="center" vertical="center" wrapText="1"/>
    </xf>
    <xf numFmtId="38" fontId="13" fillId="0" borderId="124" xfId="2" applyFont="1" applyFill="1" applyBorder="1" applyAlignment="1">
      <alignment horizontal="center" vertical="center" wrapText="1"/>
    </xf>
    <xf numFmtId="38" fontId="13" fillId="0" borderId="116" xfId="2" applyFont="1" applyFill="1" applyBorder="1" applyAlignment="1">
      <alignment horizontal="right" vertical="center" wrapText="1"/>
    </xf>
    <xf numFmtId="38" fontId="13" fillId="0" borderId="114" xfId="2" applyFont="1" applyFill="1" applyBorder="1" applyAlignment="1">
      <alignment horizontal="right" vertical="center"/>
    </xf>
    <xf numFmtId="38" fontId="13" fillId="0" borderId="115" xfId="2" applyFont="1" applyFill="1" applyBorder="1" applyAlignment="1">
      <alignment horizontal="right" vertical="center"/>
    </xf>
    <xf numFmtId="38" fontId="13" fillId="0" borderId="116" xfId="2" applyFont="1" applyFill="1" applyBorder="1" applyAlignment="1">
      <alignment horizontal="right" vertical="center"/>
    </xf>
    <xf numFmtId="0" fontId="13" fillId="0" borderId="147" xfId="0" applyFont="1" applyFill="1" applyBorder="1" applyAlignment="1">
      <alignment horizontal="center" vertical="center" textRotation="255" wrapText="1"/>
    </xf>
    <xf numFmtId="0" fontId="13" fillId="0" borderId="149" xfId="0" applyFont="1" applyFill="1" applyBorder="1" applyAlignment="1">
      <alignment horizontal="center" vertical="center" textRotation="255" wrapText="1"/>
    </xf>
    <xf numFmtId="179" fontId="13" fillId="0" borderId="102" xfId="0" applyNumberFormat="1" applyFont="1" applyFill="1" applyBorder="1" applyAlignment="1">
      <alignment horizontal="right" vertical="center" wrapText="1"/>
    </xf>
    <xf numFmtId="179" fontId="13" fillId="0" borderId="103" xfId="0" applyNumberFormat="1" applyFont="1" applyFill="1" applyBorder="1" applyAlignment="1">
      <alignment horizontal="right" vertical="center" wrapText="1"/>
    </xf>
    <xf numFmtId="38" fontId="13" fillId="0" borderId="100" xfId="2" applyFont="1" applyFill="1" applyBorder="1" applyAlignment="1">
      <alignment horizontal="right" vertical="center"/>
    </xf>
    <xf numFmtId="38" fontId="13" fillId="0" borderId="106" xfId="2" applyFont="1" applyFill="1" applyBorder="1" applyAlignment="1">
      <alignment horizontal="right" vertical="center"/>
    </xf>
    <xf numFmtId="38" fontId="13" fillId="0" borderId="101" xfId="2" applyFont="1" applyFill="1" applyBorder="1" applyAlignment="1">
      <alignment horizontal="right" vertical="center"/>
    </xf>
    <xf numFmtId="176" fontId="13" fillId="0" borderId="12" xfId="0" applyNumberFormat="1" applyFont="1" applyFill="1" applyBorder="1" applyAlignment="1">
      <alignment horizontal="right" vertical="center" wrapText="1"/>
    </xf>
    <xf numFmtId="176" fontId="13" fillId="0" borderId="14" xfId="0" applyNumberFormat="1" applyFont="1" applyFill="1" applyBorder="1" applyAlignment="1">
      <alignment horizontal="right" vertical="center" wrapText="1"/>
    </xf>
    <xf numFmtId="38" fontId="13" fillId="0" borderId="12" xfId="2" applyFont="1" applyFill="1" applyBorder="1" applyAlignment="1">
      <alignment horizontal="right" vertical="center" wrapText="1"/>
    </xf>
    <xf numFmtId="38" fontId="13" fillId="0" borderId="14" xfId="2" applyFont="1" applyFill="1" applyBorder="1" applyAlignment="1">
      <alignment horizontal="right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right" vertical="center" wrapText="1"/>
    </xf>
    <xf numFmtId="0" fontId="16" fillId="0" borderId="17" xfId="0" applyFont="1" applyFill="1" applyBorder="1" applyAlignment="1">
      <alignment horizontal="right" vertical="center" wrapText="1"/>
    </xf>
    <xf numFmtId="0" fontId="16" fillId="0" borderId="16" xfId="0" applyFont="1" applyFill="1" applyBorder="1" applyAlignment="1">
      <alignment horizontal="right" vertical="center" wrapText="1"/>
    </xf>
    <xf numFmtId="0" fontId="16" fillId="0" borderId="63" xfId="0" applyFont="1" applyFill="1" applyBorder="1" applyAlignment="1">
      <alignment horizontal="right" vertical="center" wrapText="1"/>
    </xf>
    <xf numFmtId="0" fontId="16" fillId="0" borderId="132" xfId="0" applyFont="1" applyFill="1" applyBorder="1" applyAlignment="1">
      <alignment horizontal="center" vertical="center" wrapText="1"/>
    </xf>
    <xf numFmtId="0" fontId="16" fillId="0" borderId="131" xfId="0" applyFont="1" applyFill="1" applyBorder="1" applyAlignment="1">
      <alignment horizontal="center" vertical="center" wrapText="1"/>
    </xf>
    <xf numFmtId="0" fontId="13" fillId="0" borderId="114" xfId="0" applyFont="1" applyFill="1" applyBorder="1" applyAlignment="1">
      <alignment horizontal="center" vertical="center" wrapText="1"/>
    </xf>
    <xf numFmtId="0" fontId="13" fillId="0" borderId="115" xfId="0" applyFont="1" applyFill="1" applyBorder="1" applyAlignment="1">
      <alignment horizontal="center" vertical="center" wrapText="1"/>
    </xf>
    <xf numFmtId="0" fontId="13" fillId="0" borderId="116" xfId="0" applyFont="1" applyFill="1" applyBorder="1" applyAlignment="1">
      <alignment horizontal="center" vertical="center" wrapText="1"/>
    </xf>
    <xf numFmtId="0" fontId="13" fillId="0" borderId="118" xfId="0" applyFont="1" applyFill="1" applyBorder="1" applyAlignment="1">
      <alignment horizontal="center" vertical="center" wrapText="1"/>
    </xf>
    <xf numFmtId="0" fontId="13" fillId="0" borderId="119" xfId="0" applyFont="1" applyFill="1" applyBorder="1" applyAlignment="1">
      <alignment horizontal="center" vertical="center" wrapText="1"/>
    </xf>
    <xf numFmtId="0" fontId="13" fillId="0" borderId="120" xfId="0" applyFont="1" applyFill="1" applyBorder="1" applyAlignment="1">
      <alignment horizontal="center" vertical="center" wrapText="1"/>
    </xf>
    <xf numFmtId="0" fontId="15" fillId="0" borderId="102" xfId="0" applyFont="1" applyFill="1" applyBorder="1" applyAlignment="1">
      <alignment horizontal="center" vertical="center" wrapText="1"/>
    </xf>
    <xf numFmtId="0" fontId="15" fillId="0" borderId="110" xfId="0" applyFont="1" applyFill="1" applyBorder="1" applyAlignment="1">
      <alignment horizontal="center" vertical="center" wrapText="1"/>
    </xf>
    <xf numFmtId="0" fontId="15" fillId="0" borderId="103" xfId="0" applyFont="1" applyFill="1" applyBorder="1" applyAlignment="1">
      <alignment horizontal="center" vertical="center" wrapText="1"/>
    </xf>
    <xf numFmtId="0" fontId="15" fillId="0" borderId="104" xfId="0" applyFont="1" applyFill="1" applyBorder="1" applyAlignment="1">
      <alignment horizontal="center" vertical="center" wrapText="1"/>
    </xf>
    <xf numFmtId="0" fontId="15" fillId="0" borderId="111" xfId="0" applyFont="1" applyFill="1" applyBorder="1" applyAlignment="1">
      <alignment horizontal="center" vertical="center" wrapText="1"/>
    </xf>
    <xf numFmtId="0" fontId="15" fillId="0" borderId="105" xfId="0" applyFont="1" applyFill="1" applyBorder="1" applyAlignment="1">
      <alignment horizontal="center" vertical="center" wrapText="1"/>
    </xf>
    <xf numFmtId="38" fontId="13" fillId="0" borderId="57" xfId="2" applyFont="1" applyFill="1" applyBorder="1" applyAlignment="1">
      <alignment horizontal="right" vertical="center" wrapText="1"/>
    </xf>
    <xf numFmtId="38" fontId="13" fillId="0" borderId="48" xfId="2" applyFont="1" applyFill="1" applyBorder="1" applyAlignment="1">
      <alignment horizontal="right" vertical="center" wrapText="1"/>
    </xf>
    <xf numFmtId="176" fontId="13" fillId="0" borderId="51" xfId="0" applyNumberFormat="1" applyFont="1" applyFill="1" applyBorder="1" applyAlignment="1">
      <alignment horizontal="right" vertical="center" wrapText="1"/>
    </xf>
    <xf numFmtId="176" fontId="13" fillId="0" borderId="54" xfId="0" applyNumberFormat="1" applyFont="1" applyFill="1" applyBorder="1" applyAlignment="1">
      <alignment horizontal="right" vertical="center" wrapText="1"/>
    </xf>
    <xf numFmtId="0" fontId="13" fillId="0" borderId="154" xfId="0" applyFont="1" applyFill="1" applyBorder="1" applyAlignment="1">
      <alignment horizontal="center" vertical="center" wrapText="1"/>
    </xf>
    <xf numFmtId="0" fontId="13" fillId="0" borderId="155" xfId="0" applyFont="1" applyFill="1" applyBorder="1" applyAlignment="1">
      <alignment horizontal="center" vertical="center" wrapText="1"/>
    </xf>
    <xf numFmtId="0" fontId="13" fillId="0" borderId="156" xfId="0" applyFont="1" applyFill="1" applyBorder="1" applyAlignment="1">
      <alignment horizontal="center" vertical="center" wrapText="1"/>
    </xf>
    <xf numFmtId="176" fontId="13" fillId="0" borderId="53" xfId="0" applyNumberFormat="1" applyFont="1" applyFill="1" applyBorder="1" applyAlignment="1">
      <alignment horizontal="right" vertical="center" wrapText="1"/>
    </xf>
    <xf numFmtId="0" fontId="14" fillId="0" borderId="42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14" fillId="0" borderId="88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4" fillId="0" borderId="56" xfId="0" applyFont="1" applyFill="1" applyBorder="1" applyAlignment="1">
      <alignment horizontal="left" vertical="center" wrapText="1"/>
    </xf>
    <xf numFmtId="176" fontId="13" fillId="0" borderId="139" xfId="0" applyNumberFormat="1" applyFont="1" applyFill="1" applyBorder="1" applyAlignment="1">
      <alignment horizontal="right" vertical="center" wrapText="1"/>
    </xf>
    <xf numFmtId="176" fontId="13" fillId="0" borderId="141" xfId="0" applyNumberFormat="1" applyFont="1" applyFill="1" applyBorder="1" applyAlignment="1">
      <alignment horizontal="right" vertical="center" wrapText="1"/>
    </xf>
    <xf numFmtId="176" fontId="13" fillId="0" borderId="100" xfId="0" applyNumberFormat="1" applyFont="1" applyFill="1" applyBorder="1" applyAlignment="1">
      <alignment horizontal="right" vertical="center" wrapText="1"/>
    </xf>
    <xf numFmtId="176" fontId="13" fillId="0" borderId="101" xfId="0" applyNumberFormat="1" applyFont="1" applyFill="1" applyBorder="1" applyAlignment="1">
      <alignment horizontal="right" vertical="center" wrapText="1"/>
    </xf>
    <xf numFmtId="176" fontId="13" fillId="0" borderId="137" xfId="0" applyNumberFormat="1" applyFont="1" applyFill="1" applyBorder="1" applyAlignment="1">
      <alignment horizontal="right" vertical="center" wrapText="1"/>
    </xf>
    <xf numFmtId="0" fontId="13" fillId="0" borderId="89" xfId="0" applyFont="1" applyFill="1" applyBorder="1" applyAlignment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178" fontId="13" fillId="0" borderId="102" xfId="0" applyNumberFormat="1" applyFont="1" applyFill="1" applyBorder="1" applyAlignment="1">
      <alignment horizontal="right" vertical="center" wrapText="1"/>
    </xf>
    <xf numFmtId="178" fontId="13" fillId="0" borderId="103" xfId="0" applyNumberFormat="1" applyFont="1" applyFill="1" applyBorder="1" applyAlignment="1">
      <alignment horizontal="right" vertical="center" wrapText="1"/>
    </xf>
    <xf numFmtId="0" fontId="13" fillId="0" borderId="104" xfId="0" applyFont="1" applyFill="1" applyBorder="1" applyAlignment="1">
      <alignment horizontal="center" vertical="center" shrinkToFit="1"/>
    </xf>
    <xf numFmtId="179" fontId="13" fillId="0" borderId="139" xfId="0" applyNumberFormat="1" applyFont="1" applyFill="1" applyBorder="1" applyAlignment="1">
      <alignment horizontal="right" vertical="center" wrapText="1"/>
    </xf>
    <xf numFmtId="177" fontId="13" fillId="0" borderId="102" xfId="0" applyNumberFormat="1" applyFont="1" applyFill="1" applyBorder="1" applyAlignment="1">
      <alignment horizontal="right" vertical="center" wrapText="1"/>
    </xf>
    <xf numFmtId="177" fontId="13" fillId="0" borderId="103" xfId="0" applyNumberFormat="1" applyFont="1" applyFill="1" applyBorder="1" applyAlignment="1">
      <alignment horizontal="right" vertical="center" wrapText="1"/>
    </xf>
    <xf numFmtId="0" fontId="14" fillId="0" borderId="6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88" xfId="0" applyFont="1" applyFill="1" applyBorder="1" applyAlignment="1">
      <alignment horizontal="center" vertical="center" wrapText="1"/>
    </xf>
    <xf numFmtId="177" fontId="13" fillId="0" borderId="139" xfId="0" applyNumberFormat="1" applyFont="1" applyFill="1" applyBorder="1" applyAlignment="1">
      <alignment horizontal="right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right" vertical="center" wrapText="1"/>
    </xf>
    <xf numFmtId="0" fontId="13" fillId="0" borderId="56" xfId="0" applyFont="1" applyFill="1" applyBorder="1" applyAlignment="1">
      <alignment horizontal="right" vertical="center" wrapText="1"/>
    </xf>
    <xf numFmtId="38" fontId="13" fillId="0" borderId="100" xfId="2" applyFont="1" applyFill="1" applyBorder="1" applyAlignment="1">
      <alignment horizontal="center" vertical="center" wrapText="1"/>
    </xf>
    <xf numFmtId="38" fontId="13" fillId="0" borderId="137" xfId="2" applyFont="1" applyFill="1" applyBorder="1" applyAlignment="1">
      <alignment horizontal="center" vertical="center" wrapText="1"/>
    </xf>
    <xf numFmtId="181" fontId="13" fillId="0" borderId="102" xfId="2" applyNumberFormat="1" applyFont="1" applyFill="1" applyBorder="1" applyAlignment="1">
      <alignment horizontal="center" vertical="center" wrapText="1"/>
    </xf>
    <xf numFmtId="181" fontId="13" fillId="0" borderId="103" xfId="2" applyNumberFormat="1" applyFont="1" applyFill="1" applyBorder="1" applyAlignment="1">
      <alignment horizontal="center" vertical="center" wrapText="1"/>
    </xf>
    <xf numFmtId="38" fontId="13" fillId="0" borderId="106" xfId="2" applyFont="1" applyFill="1" applyBorder="1" applyAlignment="1">
      <alignment horizontal="center" vertical="center" wrapText="1"/>
    </xf>
    <xf numFmtId="38" fontId="13" fillId="0" borderId="101" xfId="2" applyFont="1" applyFill="1" applyBorder="1" applyAlignment="1">
      <alignment horizontal="center" vertical="center" wrapText="1"/>
    </xf>
    <xf numFmtId="181" fontId="13" fillId="0" borderId="100" xfId="2" applyNumberFormat="1" applyFont="1" applyFill="1" applyBorder="1" applyAlignment="1">
      <alignment horizontal="center" vertical="center" wrapText="1"/>
    </xf>
    <xf numFmtId="181" fontId="13" fillId="0" borderId="101" xfId="2" applyNumberFormat="1" applyFont="1" applyFill="1" applyBorder="1" applyAlignment="1">
      <alignment horizontal="center" vertical="center" wrapText="1"/>
    </xf>
    <xf numFmtId="183" fontId="13" fillId="0" borderId="102" xfId="2" applyNumberFormat="1" applyFont="1" applyFill="1" applyBorder="1" applyAlignment="1">
      <alignment horizontal="center" vertical="center" wrapText="1"/>
    </xf>
    <xf numFmtId="183" fontId="13" fillId="0" borderId="103" xfId="2" applyNumberFormat="1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textRotation="255" wrapText="1"/>
    </xf>
    <xf numFmtId="0" fontId="13" fillId="0" borderId="89" xfId="0" applyFont="1" applyBorder="1" applyAlignment="1">
      <alignment horizontal="center" vertical="center" textRotation="255" wrapText="1"/>
    </xf>
    <xf numFmtId="0" fontId="13" fillId="0" borderId="157" xfId="0" applyFont="1" applyBorder="1" applyAlignment="1">
      <alignment horizontal="center" vertical="center" textRotation="255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center" vertical="center" textRotation="255" wrapText="1"/>
    </xf>
    <xf numFmtId="0" fontId="13" fillId="0" borderId="114" xfId="0" applyFont="1" applyBorder="1" applyAlignment="1">
      <alignment horizontal="left" vertical="center" wrapText="1"/>
    </xf>
    <xf numFmtId="0" fontId="13" fillId="0" borderId="116" xfId="0" applyFont="1" applyBorder="1" applyAlignment="1">
      <alignment horizontal="left" vertical="center" wrapText="1"/>
    </xf>
    <xf numFmtId="0" fontId="13" fillId="2" borderId="158" xfId="0" applyFont="1" applyFill="1" applyBorder="1" applyAlignment="1">
      <alignment horizontal="center" vertical="center" textRotation="255" wrapText="1"/>
    </xf>
    <xf numFmtId="0" fontId="13" fillId="2" borderId="89" xfId="0" applyFont="1" applyFill="1" applyBorder="1" applyAlignment="1">
      <alignment horizontal="center" vertical="center" textRotation="255" wrapText="1"/>
    </xf>
    <xf numFmtId="0" fontId="13" fillId="2" borderId="82" xfId="0" applyFont="1" applyFill="1" applyBorder="1" applyAlignment="1">
      <alignment horizontal="center" vertical="center" textRotation="255" wrapText="1"/>
    </xf>
    <xf numFmtId="0" fontId="13" fillId="2" borderId="159" xfId="0" applyFont="1" applyFill="1" applyBorder="1" applyAlignment="1">
      <alignment horizontal="left" vertical="center" wrapText="1"/>
    </xf>
    <xf numFmtId="0" fontId="13" fillId="2" borderId="160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center" vertical="center" textRotation="255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5" fillId="2" borderId="82" xfId="0" applyFont="1" applyFill="1" applyBorder="1" applyAlignment="1">
      <alignment horizontal="left" vertical="center" wrapText="1"/>
    </xf>
    <xf numFmtId="0" fontId="13" fillId="2" borderId="159" xfId="0" applyFont="1" applyFill="1" applyBorder="1" applyAlignment="1">
      <alignment horizontal="center" vertical="center" wrapText="1"/>
    </xf>
    <xf numFmtId="0" fontId="13" fillId="2" borderId="161" xfId="0" applyFont="1" applyFill="1" applyBorder="1" applyAlignment="1">
      <alignment horizontal="center" vertical="center" wrapText="1"/>
    </xf>
    <xf numFmtId="0" fontId="13" fillId="2" borderId="157" xfId="0" applyFont="1" applyFill="1" applyBorder="1" applyAlignment="1">
      <alignment horizontal="center" vertical="center" textRotation="255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179" fontId="15" fillId="0" borderId="16" xfId="0" applyNumberFormat="1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127</xdr:row>
      <xdr:rowOff>28576</xdr:rowOff>
    </xdr:from>
    <xdr:to>
      <xdr:col>3</xdr:col>
      <xdr:colOff>526677</xdr:colOff>
      <xdr:row>129</xdr:row>
      <xdr:rowOff>1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7625" y="19549223"/>
          <a:ext cx="1016934" cy="30760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200025</xdr:colOff>
      <xdr:row>129</xdr:row>
      <xdr:rowOff>0</xdr:rowOff>
    </xdr:from>
    <xdr:to>
      <xdr:col>8</xdr:col>
      <xdr:colOff>104775</xdr:colOff>
      <xdr:row>129</xdr:row>
      <xdr:rowOff>0</xdr:rowOff>
    </xdr:to>
    <xdr:sp macro="" textlink="">
      <xdr:nvSpPr>
        <xdr:cNvPr id="3" name="フローチャート 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105025" y="63788925"/>
          <a:ext cx="285750" cy="0"/>
        </a:xfrm>
        <a:prstGeom prst="flowChartConnector">
          <a:avLst/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7</xdr:col>
      <xdr:colOff>200025</xdr:colOff>
      <xdr:row>129</xdr:row>
      <xdr:rowOff>0</xdr:rowOff>
    </xdr:from>
    <xdr:to>
      <xdr:col>8</xdr:col>
      <xdr:colOff>104775</xdr:colOff>
      <xdr:row>129</xdr:row>
      <xdr:rowOff>0</xdr:rowOff>
    </xdr:to>
    <xdr:sp macro="" textlink="">
      <xdr:nvSpPr>
        <xdr:cNvPr id="4" name="フローチャート 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2105025" y="63788925"/>
          <a:ext cx="285750" cy="0"/>
        </a:xfrm>
        <a:prstGeom prst="flowChartConnector">
          <a:avLst/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有</a:t>
          </a:r>
        </a:p>
      </xdr:txBody>
    </xdr:sp>
    <xdr:clientData/>
  </xdr:twoCellAnchor>
  <xdr:twoCellAnchor>
    <xdr:from>
      <xdr:col>7</xdr:col>
      <xdr:colOff>200025</xdr:colOff>
      <xdr:row>129</xdr:row>
      <xdr:rowOff>0</xdr:rowOff>
    </xdr:from>
    <xdr:to>
      <xdr:col>8</xdr:col>
      <xdr:colOff>104775</xdr:colOff>
      <xdr:row>129</xdr:row>
      <xdr:rowOff>0</xdr:rowOff>
    </xdr:to>
    <xdr:sp macro="" textlink="">
      <xdr:nvSpPr>
        <xdr:cNvPr id="5" name="フローチャート 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105025" y="63788925"/>
          <a:ext cx="285750" cy="0"/>
        </a:xfrm>
        <a:prstGeom prst="flowChartConnector">
          <a:avLst/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有</a:t>
          </a:r>
        </a:p>
      </xdr:txBody>
    </xdr:sp>
    <xdr:clientData/>
  </xdr:twoCellAnchor>
  <xdr:twoCellAnchor>
    <xdr:from>
      <xdr:col>4</xdr:col>
      <xdr:colOff>19050</xdr:colOff>
      <xdr:row>129</xdr:row>
      <xdr:rowOff>0</xdr:rowOff>
    </xdr:from>
    <xdr:to>
      <xdr:col>4</xdr:col>
      <xdr:colOff>28575</xdr:colOff>
      <xdr:row>129</xdr:row>
      <xdr:rowOff>0</xdr:rowOff>
    </xdr:to>
    <xdr:sp macro="" textlink="">
      <xdr:nvSpPr>
        <xdr:cNvPr id="6" name="Line 6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781050" y="637889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129</xdr:row>
      <xdr:rowOff>0</xdr:rowOff>
    </xdr:from>
    <xdr:to>
      <xdr:col>10</xdr:col>
      <xdr:colOff>9525</xdr:colOff>
      <xdr:row>129</xdr:row>
      <xdr:rowOff>0</xdr:rowOff>
    </xdr:to>
    <xdr:sp macro="" textlink="">
      <xdr:nvSpPr>
        <xdr:cNvPr id="7" name="Line 3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943100" y="63788925"/>
          <a:ext cx="1152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</xdr:colOff>
      <xdr:row>129</xdr:row>
      <xdr:rowOff>0</xdr:rowOff>
    </xdr:from>
    <xdr:to>
      <xdr:col>13</xdr:col>
      <xdr:colOff>28575</xdr:colOff>
      <xdr:row>129</xdr:row>
      <xdr:rowOff>0</xdr:rowOff>
    </xdr:to>
    <xdr:sp macro="" textlink="">
      <xdr:nvSpPr>
        <xdr:cNvPr id="9" name="Line 6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4248150" y="637889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129</xdr:row>
      <xdr:rowOff>0</xdr:rowOff>
    </xdr:from>
    <xdr:to>
      <xdr:col>16</xdr:col>
      <xdr:colOff>28575</xdr:colOff>
      <xdr:row>129</xdr:row>
      <xdr:rowOff>0</xdr:rowOff>
    </xdr:to>
    <xdr:sp macro="" textlink="">
      <xdr:nvSpPr>
        <xdr:cNvPr id="11" name="Line 6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5419725" y="637889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129</xdr:row>
      <xdr:rowOff>0</xdr:rowOff>
    </xdr:from>
    <xdr:to>
      <xdr:col>9</xdr:col>
      <xdr:colOff>361950</xdr:colOff>
      <xdr:row>129</xdr:row>
      <xdr:rowOff>0</xdr:rowOff>
    </xdr:to>
    <xdr:sp macro="" textlink="">
      <xdr:nvSpPr>
        <xdr:cNvPr id="12" name="Line 4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V="1">
          <a:off x="1943100" y="6378892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129</xdr:row>
      <xdr:rowOff>0</xdr:rowOff>
    </xdr:from>
    <xdr:to>
      <xdr:col>4</xdr:col>
      <xdr:colOff>28575</xdr:colOff>
      <xdr:row>129</xdr:row>
      <xdr:rowOff>0</xdr:rowOff>
    </xdr:to>
    <xdr:sp macro="" textlink="">
      <xdr:nvSpPr>
        <xdr:cNvPr id="13" name="Line 6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781050" y="637889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129</xdr:row>
      <xdr:rowOff>0</xdr:rowOff>
    </xdr:from>
    <xdr:to>
      <xdr:col>10</xdr:col>
      <xdr:colOff>9525</xdr:colOff>
      <xdr:row>129</xdr:row>
      <xdr:rowOff>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 flipV="1">
          <a:off x="1943100" y="63788925"/>
          <a:ext cx="1152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</xdr:colOff>
      <xdr:row>129</xdr:row>
      <xdr:rowOff>0</xdr:rowOff>
    </xdr:from>
    <xdr:to>
      <xdr:col>13</xdr:col>
      <xdr:colOff>28575</xdr:colOff>
      <xdr:row>129</xdr:row>
      <xdr:rowOff>0</xdr:rowOff>
    </xdr:to>
    <xdr:sp macro="" textlink="">
      <xdr:nvSpPr>
        <xdr:cNvPr id="15" name="Line 6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4248150" y="637889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238125</xdr:colOff>
      <xdr:row>129</xdr:row>
      <xdr:rowOff>0</xdr:rowOff>
    </xdr:from>
    <xdr:to>
      <xdr:col>14</xdr:col>
      <xdr:colOff>142875</xdr:colOff>
      <xdr:row>129</xdr:row>
      <xdr:rowOff>0</xdr:rowOff>
    </xdr:to>
    <xdr:sp macro="" textlink="">
      <xdr:nvSpPr>
        <xdr:cNvPr id="16" name="Oval 4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4467225" y="63788925"/>
          <a:ext cx="28575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有</a:t>
          </a:r>
        </a:p>
      </xdr:txBody>
    </xdr:sp>
    <xdr:clientData/>
  </xdr:twoCellAnchor>
  <xdr:twoCellAnchor>
    <xdr:from>
      <xdr:col>16</xdr:col>
      <xdr:colOff>19050</xdr:colOff>
      <xdr:row>129</xdr:row>
      <xdr:rowOff>0</xdr:rowOff>
    </xdr:from>
    <xdr:to>
      <xdr:col>16</xdr:col>
      <xdr:colOff>28575</xdr:colOff>
      <xdr:row>129</xdr:row>
      <xdr:rowOff>0</xdr:rowOff>
    </xdr:to>
    <xdr:sp macro="" textlink="">
      <xdr:nvSpPr>
        <xdr:cNvPr id="17" name="Line 6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5419725" y="637889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R98"/>
  <sheetViews>
    <sheetView showGridLines="0" tabSelected="1" view="pageBreakPreview" topLeftCell="B2" zoomScaleNormal="100" zoomScaleSheetLayoutView="100" workbookViewId="0">
      <selection activeCell="O37" sqref="O37:R37"/>
    </sheetView>
  </sheetViews>
  <sheetFormatPr defaultColWidth="9.33203125" defaultRowHeight="14.25" x14ac:dyDescent="0.2"/>
  <cols>
    <col min="1" max="1" width="9.33203125" style="89"/>
    <col min="2" max="2" width="1.5" style="89" customWidth="1"/>
    <col min="3" max="20" width="5.5" style="89" customWidth="1"/>
    <col min="21" max="34" width="5.83203125" style="89" customWidth="1"/>
    <col min="35" max="35" width="2.33203125" style="89" customWidth="1"/>
    <col min="36" max="16384" width="9.33203125" style="89"/>
  </cols>
  <sheetData>
    <row r="1" spans="3:70" ht="20.100000000000001" hidden="1" customHeight="1" x14ac:dyDescent="0.2">
      <c r="D1" s="87"/>
      <c r="E1" s="87"/>
      <c r="F1" s="87"/>
      <c r="G1" s="87"/>
      <c r="Q1" s="87"/>
      <c r="T1" s="88"/>
      <c r="AG1" s="132"/>
      <c r="AH1" s="132"/>
    </row>
    <row r="2" spans="3:70" ht="20.100000000000001" customHeight="1" x14ac:dyDescent="0.2">
      <c r="C2" s="2"/>
    </row>
    <row r="3" spans="3:70" ht="20.100000000000001" customHeight="1" x14ac:dyDescent="0.2">
      <c r="C3" s="150" t="s">
        <v>0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</row>
    <row r="4" spans="3:70" ht="20.100000000000001" customHeight="1" thickBot="1" x14ac:dyDescent="0.25">
      <c r="T4" s="3"/>
      <c r="AH4" s="3" t="s">
        <v>87</v>
      </c>
    </row>
    <row r="5" spans="3:70" ht="24.95" customHeight="1" x14ac:dyDescent="0.2">
      <c r="C5" s="5"/>
      <c r="D5" s="151"/>
      <c r="E5" s="151"/>
      <c r="F5" s="151"/>
      <c r="G5" s="151"/>
      <c r="H5" s="151"/>
      <c r="I5" s="151"/>
      <c r="L5" s="323" t="s">
        <v>68</v>
      </c>
      <c r="M5" s="334" t="s">
        <v>69</v>
      </c>
      <c r="N5" s="335"/>
      <c r="O5" s="335"/>
      <c r="P5" s="336"/>
      <c r="Q5" s="339"/>
      <c r="R5" s="339"/>
      <c r="S5" s="339"/>
      <c r="T5" s="339"/>
      <c r="U5" s="339"/>
      <c r="V5" s="339"/>
      <c r="W5" s="339"/>
      <c r="X5" s="339"/>
      <c r="Y5" s="348"/>
      <c r="Z5" s="348"/>
      <c r="AA5" s="348"/>
      <c r="AB5" s="339" t="s">
        <v>63</v>
      </c>
      <c r="AC5" s="339"/>
      <c r="AD5" s="340"/>
      <c r="AE5" s="341"/>
      <c r="AF5" s="341"/>
      <c r="AG5" s="341"/>
      <c r="AH5" s="342"/>
      <c r="AM5" s="2"/>
    </row>
    <row r="6" spans="3:70" ht="24.95" customHeight="1" thickBot="1" x14ac:dyDescent="0.25">
      <c r="C6" s="8"/>
      <c r="D6" s="322"/>
      <c r="E6" s="322"/>
      <c r="F6" s="322"/>
      <c r="G6" s="322"/>
      <c r="H6" s="322"/>
      <c r="I6" s="322"/>
      <c r="L6" s="324"/>
      <c r="M6" s="331" t="s">
        <v>70</v>
      </c>
      <c r="N6" s="332"/>
      <c r="O6" s="332"/>
      <c r="P6" s="333"/>
      <c r="Q6" s="231"/>
      <c r="R6" s="232"/>
      <c r="S6" s="232"/>
      <c r="T6" s="232"/>
      <c r="U6" s="232"/>
      <c r="V6" s="232"/>
      <c r="W6" s="232"/>
      <c r="X6" s="232"/>
      <c r="Y6" s="346" t="s">
        <v>1</v>
      </c>
      <c r="Z6" s="346"/>
      <c r="AA6" s="346"/>
      <c r="AB6" s="337"/>
      <c r="AC6" s="337"/>
      <c r="AD6" s="337"/>
      <c r="AE6" s="337"/>
      <c r="AF6" s="337"/>
      <c r="AG6" s="337"/>
      <c r="AH6" s="338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</row>
    <row r="7" spans="3:70" ht="24.95" customHeight="1" x14ac:dyDescent="0.2">
      <c r="C7" s="82" t="s">
        <v>313</v>
      </c>
      <c r="D7" s="352" t="s">
        <v>85</v>
      </c>
      <c r="E7" s="352"/>
      <c r="F7" s="352"/>
      <c r="G7" s="352"/>
      <c r="H7" s="352"/>
      <c r="I7" s="353"/>
      <c r="L7" s="324"/>
      <c r="M7" s="329" t="s">
        <v>79</v>
      </c>
      <c r="N7" s="232"/>
      <c r="O7" s="232"/>
      <c r="P7" s="330"/>
      <c r="Q7" s="231"/>
      <c r="R7" s="232"/>
      <c r="S7" s="232"/>
      <c r="T7" s="232"/>
      <c r="U7" s="232"/>
      <c r="V7" s="232"/>
      <c r="W7" s="232"/>
      <c r="X7" s="330"/>
      <c r="Y7" s="347" t="s">
        <v>73</v>
      </c>
      <c r="Z7" s="347"/>
      <c r="AA7" s="347"/>
      <c r="AB7" s="337"/>
      <c r="AC7" s="337"/>
      <c r="AD7" s="337"/>
      <c r="AE7" s="337"/>
      <c r="AF7" s="337"/>
      <c r="AG7" s="337"/>
      <c r="AH7" s="338"/>
      <c r="BD7" s="3"/>
      <c r="BR7" s="3"/>
    </row>
    <row r="8" spans="3:70" ht="24.95" customHeight="1" thickBot="1" x14ac:dyDescent="0.25">
      <c r="C8" s="7"/>
      <c r="D8" s="354" t="s">
        <v>86</v>
      </c>
      <c r="E8" s="354"/>
      <c r="F8" s="354"/>
      <c r="G8" s="354"/>
      <c r="H8" s="354"/>
      <c r="I8" s="355"/>
      <c r="L8" s="325"/>
      <c r="M8" s="326" t="s">
        <v>71</v>
      </c>
      <c r="N8" s="327"/>
      <c r="O8" s="327"/>
      <c r="P8" s="328"/>
      <c r="Q8" s="344"/>
      <c r="R8" s="344"/>
      <c r="S8" s="344"/>
      <c r="T8" s="344"/>
      <c r="U8" s="344"/>
      <c r="V8" s="344"/>
      <c r="W8" s="344"/>
      <c r="X8" s="344"/>
      <c r="Y8" s="343" t="s">
        <v>2</v>
      </c>
      <c r="Z8" s="343"/>
      <c r="AA8" s="343"/>
      <c r="AB8" s="343"/>
      <c r="AC8" s="343"/>
      <c r="AD8" s="343"/>
      <c r="AE8" s="343"/>
      <c r="AF8" s="343"/>
      <c r="AG8" s="343"/>
      <c r="AH8" s="345"/>
      <c r="AM8" s="5"/>
      <c r="AN8" s="151"/>
      <c r="AO8" s="151"/>
      <c r="AP8" s="151"/>
      <c r="AQ8" s="151"/>
      <c r="AR8" s="151"/>
      <c r="AS8" s="151"/>
      <c r="AV8" s="141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</row>
    <row r="9" spans="3:70" ht="20.100000000000001" customHeight="1" x14ac:dyDescent="0.2">
      <c r="C9" s="5"/>
      <c r="D9" s="146"/>
      <c r="E9" s="146"/>
      <c r="F9" s="146"/>
      <c r="G9" s="146"/>
      <c r="H9" s="146"/>
      <c r="U9" s="4"/>
      <c r="AM9" s="5"/>
      <c r="AN9" s="152"/>
      <c r="AO9" s="152"/>
      <c r="AP9" s="152"/>
      <c r="AQ9" s="152"/>
      <c r="AR9" s="152"/>
      <c r="AS9" s="152"/>
      <c r="AV9" s="141"/>
      <c r="AW9" s="153"/>
      <c r="AX9" s="153"/>
      <c r="AY9" s="153"/>
      <c r="AZ9" s="153"/>
      <c r="BA9" s="138"/>
      <c r="BB9" s="138"/>
      <c r="BC9" s="138"/>
      <c r="BD9" s="138"/>
      <c r="BE9" s="138"/>
      <c r="BF9" s="138"/>
      <c r="BG9" s="138"/>
      <c r="BH9" s="138"/>
      <c r="BI9" s="137"/>
      <c r="BJ9" s="137"/>
      <c r="BK9" s="137"/>
      <c r="BL9" s="138"/>
      <c r="BM9" s="138"/>
      <c r="BN9" s="138"/>
      <c r="BO9" s="138"/>
      <c r="BP9" s="138"/>
      <c r="BQ9" s="138"/>
      <c r="BR9" s="138"/>
    </row>
    <row r="10" spans="3:70" ht="20.100000000000001" customHeight="1" thickBot="1" x14ac:dyDescent="0.25">
      <c r="C10" s="147" t="s">
        <v>11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M10" s="5"/>
      <c r="AN10" s="152"/>
      <c r="AO10" s="152"/>
      <c r="AP10" s="152"/>
      <c r="AQ10" s="152"/>
      <c r="AR10" s="152"/>
      <c r="AS10" s="152"/>
      <c r="AV10" s="141"/>
      <c r="AW10" s="141"/>
      <c r="AX10" s="138"/>
      <c r="AY10" s="138"/>
      <c r="AZ10" s="138"/>
      <c r="BA10" s="129"/>
      <c r="BB10" s="129"/>
      <c r="BC10" s="129"/>
      <c r="BD10" s="129"/>
      <c r="BE10" s="129"/>
      <c r="BF10" s="129"/>
      <c r="BG10" s="129"/>
      <c r="BH10" s="129"/>
      <c r="BI10" s="145"/>
      <c r="BJ10" s="145"/>
      <c r="BK10" s="145"/>
      <c r="BL10" s="138"/>
      <c r="BM10" s="138"/>
      <c r="BN10" s="138"/>
      <c r="BO10" s="138"/>
      <c r="BP10" s="138"/>
      <c r="BQ10" s="138"/>
      <c r="BR10" s="138"/>
    </row>
    <row r="11" spans="3:70" ht="30" customHeight="1" thickBot="1" x14ac:dyDescent="0.25">
      <c r="C11" s="319" t="s">
        <v>12</v>
      </c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1"/>
      <c r="AM11" s="5"/>
      <c r="AN11" s="152"/>
      <c r="AO11" s="152"/>
      <c r="AP11" s="152"/>
      <c r="AQ11" s="152"/>
      <c r="AR11" s="152"/>
      <c r="AS11" s="152"/>
      <c r="AV11" s="141"/>
      <c r="AW11" s="154"/>
      <c r="AX11" s="154"/>
      <c r="AY11" s="154"/>
      <c r="AZ11" s="154"/>
      <c r="BA11" s="138" t="s">
        <v>72</v>
      </c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</row>
    <row r="12" spans="3:70" ht="24.95" customHeight="1" thickBot="1" x14ac:dyDescent="0.25">
      <c r="C12" s="370" t="s">
        <v>21</v>
      </c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2"/>
      <c r="AM12" s="5"/>
      <c r="AN12" s="146"/>
      <c r="AO12" s="146"/>
      <c r="AP12" s="146"/>
      <c r="AQ12" s="146"/>
      <c r="AR12" s="146"/>
      <c r="BE12" s="4"/>
    </row>
    <row r="13" spans="3:70" ht="20.100000000000001" customHeight="1" x14ac:dyDescent="0.2">
      <c r="C13" s="212" t="s">
        <v>17</v>
      </c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4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</row>
    <row r="14" spans="3:70" ht="20.100000000000001" customHeight="1" x14ac:dyDescent="0.2">
      <c r="C14" s="234" t="s">
        <v>13</v>
      </c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365"/>
      <c r="S14" s="112" t="s">
        <v>348</v>
      </c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294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</row>
    <row r="15" spans="3:70" ht="20.100000000000001" customHeight="1" x14ac:dyDescent="0.2">
      <c r="C15" s="358" t="s">
        <v>65</v>
      </c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238" t="s">
        <v>62</v>
      </c>
      <c r="Q15" s="238"/>
      <c r="R15" s="356"/>
      <c r="S15" s="358" t="s">
        <v>65</v>
      </c>
      <c r="T15" s="359"/>
      <c r="U15" s="359"/>
      <c r="V15" s="359"/>
      <c r="W15" s="359"/>
      <c r="X15" s="359"/>
      <c r="Y15" s="359"/>
      <c r="Z15" s="359"/>
      <c r="AA15" s="359"/>
      <c r="AB15" s="359"/>
      <c r="AC15" s="359"/>
      <c r="AD15" s="359"/>
      <c r="AE15" s="359"/>
      <c r="AF15" s="238" t="s">
        <v>62</v>
      </c>
      <c r="AG15" s="238"/>
      <c r="AH15" s="356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</row>
    <row r="16" spans="3:70" ht="20.100000000000001" customHeight="1" x14ac:dyDescent="0.2">
      <c r="C16" s="360" t="s">
        <v>84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33"/>
      <c r="Q16" s="133"/>
      <c r="R16" s="357"/>
      <c r="S16" s="360" t="s">
        <v>83</v>
      </c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33"/>
      <c r="AG16" s="133"/>
      <c r="AH16" s="35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</row>
    <row r="17" spans="3:70" ht="20.100000000000001" customHeight="1" thickBot="1" x14ac:dyDescent="0.25">
      <c r="C17" s="349" t="s">
        <v>30</v>
      </c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1"/>
      <c r="S17" s="349" t="s">
        <v>30</v>
      </c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1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</row>
    <row r="18" spans="3:70" ht="20.100000000000001" customHeight="1" x14ac:dyDescent="0.2">
      <c r="C18" s="361" t="s">
        <v>32</v>
      </c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3"/>
      <c r="AC18" s="363"/>
      <c r="AD18" s="363"/>
      <c r="AE18" s="363"/>
      <c r="AF18" s="363"/>
      <c r="AG18" s="362"/>
      <c r="AH18" s="364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33"/>
      <c r="BA18" s="133"/>
      <c r="BB18" s="133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33"/>
      <c r="BQ18" s="133"/>
      <c r="BR18" s="133"/>
    </row>
    <row r="19" spans="3:70" ht="20.100000000000001" customHeight="1" x14ac:dyDescent="0.2">
      <c r="C19" s="10"/>
      <c r="D19" s="11"/>
      <c r="E19" s="11"/>
      <c r="F19" s="11"/>
      <c r="G19" s="11"/>
      <c r="H19" s="12"/>
      <c r="I19" s="346" t="s">
        <v>198</v>
      </c>
      <c r="J19" s="346"/>
      <c r="K19" s="346"/>
      <c r="L19" s="346"/>
      <c r="M19" s="346" t="s">
        <v>349</v>
      </c>
      <c r="N19" s="346"/>
      <c r="O19" s="346"/>
      <c r="P19" s="346"/>
      <c r="Q19" s="373"/>
      <c r="R19" s="382"/>
      <c r="S19" s="382"/>
      <c r="T19" s="382"/>
      <c r="U19" s="382"/>
      <c r="V19" s="383"/>
      <c r="W19" s="366" t="s">
        <v>200</v>
      </c>
      <c r="X19" s="366"/>
      <c r="Y19" s="366"/>
      <c r="Z19" s="366"/>
      <c r="AA19" s="367" t="s">
        <v>350</v>
      </c>
      <c r="AB19" s="368"/>
      <c r="AC19" s="368"/>
      <c r="AD19" s="369"/>
      <c r="AE19" s="221" t="s">
        <v>199</v>
      </c>
      <c r="AF19" s="222"/>
      <c r="AG19" s="373">
        <v>1</v>
      </c>
      <c r="AH19" s="374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33"/>
      <c r="BA19" s="133"/>
      <c r="BB19" s="133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33"/>
      <c r="BQ19" s="133"/>
      <c r="BR19" s="133"/>
    </row>
    <row r="20" spans="3:70" ht="30" customHeight="1" x14ac:dyDescent="0.2">
      <c r="C20" s="255" t="s">
        <v>29</v>
      </c>
      <c r="D20" s="256"/>
      <c r="E20" s="256"/>
      <c r="F20" s="256"/>
      <c r="G20" s="256"/>
      <c r="H20" s="257"/>
      <c r="I20" s="384">
        <f>添付資料!R59/10000</f>
        <v>0</v>
      </c>
      <c r="J20" s="385"/>
      <c r="K20" s="385"/>
      <c r="L20" s="385"/>
      <c r="M20" s="384">
        <f>添付資料!R69/10000</f>
        <v>0</v>
      </c>
      <c r="N20" s="385"/>
      <c r="O20" s="385"/>
      <c r="P20" s="385"/>
      <c r="Q20" s="379" t="s">
        <v>35</v>
      </c>
      <c r="R20" s="380"/>
      <c r="S20" s="380"/>
      <c r="T20" s="380"/>
      <c r="U20" s="380"/>
      <c r="V20" s="381"/>
      <c r="W20" s="215">
        <f>添付資料!S35</f>
        <v>0</v>
      </c>
      <c r="X20" s="216"/>
      <c r="Y20" s="216"/>
      <c r="Z20" s="216"/>
      <c r="AA20" s="215">
        <f>添付資料!S45</f>
        <v>0</v>
      </c>
      <c r="AB20" s="216"/>
      <c r="AC20" s="216"/>
      <c r="AD20" s="216"/>
      <c r="AE20" s="221"/>
      <c r="AF20" s="222"/>
      <c r="AG20" s="375"/>
      <c r="AH20" s="376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</row>
    <row r="21" spans="3:70" ht="30" customHeight="1" thickBot="1" x14ac:dyDescent="0.25">
      <c r="C21" s="13"/>
      <c r="D21" s="225" t="s">
        <v>31</v>
      </c>
      <c r="E21" s="226"/>
      <c r="F21" s="226"/>
      <c r="G21" s="226"/>
      <c r="H21" s="227"/>
      <c r="I21" s="251">
        <f>I20/AG19</f>
        <v>0</v>
      </c>
      <c r="J21" s="251"/>
      <c r="K21" s="251"/>
      <c r="L21" s="251"/>
      <c r="M21" s="252">
        <f>M20/AG19</f>
        <v>0</v>
      </c>
      <c r="N21" s="251"/>
      <c r="O21" s="251"/>
      <c r="P21" s="251"/>
      <c r="Q21" s="6"/>
      <c r="R21" s="225" t="s">
        <v>34</v>
      </c>
      <c r="S21" s="226"/>
      <c r="T21" s="226"/>
      <c r="U21" s="226"/>
      <c r="V21" s="227"/>
      <c r="W21" s="253">
        <f>N60</f>
        <v>0</v>
      </c>
      <c r="X21" s="254"/>
      <c r="Y21" s="254"/>
      <c r="Z21" s="254"/>
      <c r="AA21" s="253">
        <f>S60</f>
        <v>0</v>
      </c>
      <c r="AB21" s="254"/>
      <c r="AC21" s="254"/>
      <c r="AD21" s="254"/>
      <c r="AE21" s="223"/>
      <c r="AF21" s="224"/>
      <c r="AG21" s="377"/>
      <c r="AH21" s="378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</row>
    <row r="22" spans="3:70" ht="24.95" customHeight="1" thickBot="1" x14ac:dyDescent="0.25">
      <c r="C22" s="261" t="s">
        <v>23</v>
      </c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3"/>
      <c r="AM22" s="91"/>
      <c r="AN22" s="91"/>
      <c r="AO22" s="91"/>
      <c r="AP22" s="91"/>
      <c r="AQ22" s="91"/>
      <c r="AR22" s="91"/>
      <c r="AS22" s="137"/>
      <c r="AT22" s="137"/>
      <c r="AU22" s="137"/>
      <c r="AV22" s="137"/>
      <c r="AW22" s="137"/>
      <c r="AX22" s="137"/>
      <c r="AY22" s="137"/>
      <c r="AZ22" s="137"/>
      <c r="BA22" s="138"/>
      <c r="BB22" s="138"/>
      <c r="BC22" s="138"/>
      <c r="BD22" s="138"/>
      <c r="BE22" s="138"/>
      <c r="BF22" s="138"/>
      <c r="BG22" s="139"/>
      <c r="BH22" s="139"/>
      <c r="BI22" s="139"/>
      <c r="BJ22" s="139"/>
      <c r="BK22" s="140"/>
      <c r="BL22" s="140"/>
      <c r="BM22" s="140"/>
      <c r="BN22" s="140"/>
      <c r="BO22" s="141"/>
      <c r="BP22" s="141"/>
      <c r="BQ22" s="129"/>
      <c r="BR22" s="129"/>
    </row>
    <row r="23" spans="3:70" ht="20.100000000000001" customHeight="1" x14ac:dyDescent="0.2">
      <c r="C23" s="180" t="s">
        <v>18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2"/>
      <c r="Y23" s="268" t="s">
        <v>28</v>
      </c>
      <c r="Z23" s="269"/>
      <c r="AA23" s="269"/>
      <c r="AB23" s="269"/>
      <c r="AC23" s="269"/>
      <c r="AD23" s="269"/>
      <c r="AE23" s="269"/>
      <c r="AF23" s="269"/>
      <c r="AG23" s="269"/>
      <c r="AH23" s="270"/>
      <c r="AM23" s="134"/>
      <c r="AN23" s="134"/>
      <c r="AO23" s="134"/>
      <c r="AP23" s="134"/>
      <c r="AQ23" s="134"/>
      <c r="AR23" s="134"/>
      <c r="AS23" s="142"/>
      <c r="AT23" s="142"/>
      <c r="AU23" s="142"/>
      <c r="AV23" s="142"/>
      <c r="AW23" s="142"/>
      <c r="AX23" s="142"/>
      <c r="AY23" s="142"/>
      <c r="AZ23" s="142"/>
      <c r="BA23" s="143"/>
      <c r="BB23" s="143"/>
      <c r="BC23" s="143"/>
      <c r="BD23" s="143"/>
      <c r="BE23" s="143"/>
      <c r="BF23" s="143"/>
      <c r="BG23" s="144"/>
      <c r="BH23" s="144"/>
      <c r="BI23" s="144"/>
      <c r="BJ23" s="144"/>
      <c r="BK23" s="144"/>
      <c r="BL23" s="144"/>
      <c r="BM23" s="144"/>
      <c r="BN23" s="144"/>
      <c r="BO23" s="141"/>
      <c r="BP23" s="141"/>
      <c r="BQ23" s="129"/>
      <c r="BR23" s="129"/>
    </row>
    <row r="24" spans="3:70" ht="20.100000000000001" customHeight="1" x14ac:dyDescent="0.2">
      <c r="C24" s="280" t="s">
        <v>26</v>
      </c>
      <c r="D24" s="238"/>
      <c r="E24" s="281"/>
      <c r="F24" s="237" t="s">
        <v>4</v>
      </c>
      <c r="G24" s="238"/>
      <c r="H24" s="239"/>
      <c r="I24" s="240"/>
      <c r="J24" s="241" t="s">
        <v>348</v>
      </c>
      <c r="K24" s="242"/>
      <c r="L24" s="242"/>
      <c r="M24" s="243"/>
      <c r="N24" s="280" t="s">
        <v>27</v>
      </c>
      <c r="O24" s="238"/>
      <c r="P24" s="281"/>
      <c r="Q24" s="258" t="s">
        <v>4</v>
      </c>
      <c r="R24" s="239"/>
      <c r="S24" s="239"/>
      <c r="T24" s="240"/>
      <c r="U24" s="241" t="s">
        <v>348</v>
      </c>
      <c r="V24" s="242"/>
      <c r="W24" s="242"/>
      <c r="X24" s="243"/>
      <c r="Y24" s="206"/>
      <c r="Z24" s="207"/>
      <c r="AA24" s="207"/>
      <c r="AB24" s="207"/>
      <c r="AC24" s="207"/>
      <c r="AD24" s="207"/>
      <c r="AE24" s="207"/>
      <c r="AF24" s="207"/>
      <c r="AG24" s="207"/>
      <c r="AH24" s="271"/>
      <c r="AN24" s="145"/>
      <c r="AO24" s="145"/>
      <c r="AP24" s="145"/>
      <c r="AQ24" s="145"/>
      <c r="AR24" s="145"/>
      <c r="AS24" s="142"/>
      <c r="AT24" s="142"/>
      <c r="AU24" s="142"/>
      <c r="AV24" s="142"/>
      <c r="AW24" s="142"/>
      <c r="AX24" s="142"/>
      <c r="AY24" s="142"/>
      <c r="AZ24" s="142"/>
      <c r="BB24" s="145"/>
      <c r="BC24" s="145"/>
      <c r="BD24" s="145"/>
      <c r="BE24" s="145"/>
      <c r="BF24" s="145"/>
      <c r="BG24" s="144"/>
      <c r="BH24" s="144"/>
      <c r="BI24" s="144"/>
      <c r="BJ24" s="144"/>
      <c r="BK24" s="144"/>
      <c r="BL24" s="144"/>
      <c r="BM24" s="144"/>
      <c r="BN24" s="144"/>
      <c r="BO24" s="141"/>
      <c r="BP24" s="141"/>
      <c r="BQ24" s="129"/>
      <c r="BR24" s="129"/>
    </row>
    <row r="25" spans="3:70" ht="20.100000000000001" customHeight="1" x14ac:dyDescent="0.2">
      <c r="C25" s="282"/>
      <c r="D25" s="133"/>
      <c r="E25" s="133"/>
      <c r="F25" s="276" t="s">
        <v>80</v>
      </c>
      <c r="G25" s="277"/>
      <c r="H25" s="276" t="s">
        <v>60</v>
      </c>
      <c r="I25" s="277"/>
      <c r="J25" s="276" t="s">
        <v>80</v>
      </c>
      <c r="K25" s="277"/>
      <c r="L25" s="276" t="s">
        <v>60</v>
      </c>
      <c r="M25" s="277"/>
      <c r="N25" s="282"/>
      <c r="O25" s="133"/>
      <c r="P25" s="283"/>
      <c r="Q25" s="272" t="s">
        <v>61</v>
      </c>
      <c r="R25" s="273"/>
      <c r="S25" s="276" t="s">
        <v>60</v>
      </c>
      <c r="T25" s="277"/>
      <c r="U25" s="272" t="s">
        <v>61</v>
      </c>
      <c r="V25" s="273"/>
      <c r="W25" s="276" t="s">
        <v>60</v>
      </c>
      <c r="X25" s="277"/>
      <c r="Y25" s="234" t="s">
        <v>25</v>
      </c>
      <c r="Z25" s="235"/>
      <c r="AA25" s="235"/>
      <c r="AB25" s="236"/>
      <c r="AC25" s="264" t="s">
        <v>3</v>
      </c>
      <c r="AD25" s="235"/>
      <c r="AE25" s="236"/>
      <c r="AF25" s="265" t="s">
        <v>351</v>
      </c>
      <c r="AG25" s="266"/>
      <c r="AH25" s="267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</row>
    <row r="26" spans="3:70" ht="20.100000000000001" customHeight="1" x14ac:dyDescent="0.2">
      <c r="C26" s="284"/>
      <c r="D26" s="275"/>
      <c r="E26" s="275"/>
      <c r="F26" s="278"/>
      <c r="G26" s="279"/>
      <c r="H26" s="278"/>
      <c r="I26" s="279"/>
      <c r="J26" s="278"/>
      <c r="K26" s="279"/>
      <c r="L26" s="278"/>
      <c r="M26" s="279"/>
      <c r="N26" s="284"/>
      <c r="O26" s="275"/>
      <c r="P26" s="285"/>
      <c r="Q26" s="274"/>
      <c r="R26" s="275"/>
      <c r="S26" s="278"/>
      <c r="T26" s="279"/>
      <c r="U26" s="274"/>
      <c r="V26" s="275"/>
      <c r="W26" s="278"/>
      <c r="X26" s="279"/>
      <c r="Y26" s="329">
        <f>添付資料!C84</f>
        <v>0</v>
      </c>
      <c r="Z26" s="423"/>
      <c r="AA26" s="423"/>
      <c r="AB26" s="424"/>
      <c r="AC26" s="209" t="s">
        <v>24</v>
      </c>
      <c r="AD26" s="210"/>
      <c r="AE26" s="211"/>
      <c r="AF26" s="209" t="s">
        <v>24</v>
      </c>
      <c r="AG26" s="210"/>
      <c r="AH26" s="217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</row>
    <row r="27" spans="3:70" ht="20.100000000000001" customHeight="1" x14ac:dyDescent="0.2">
      <c r="C27" s="108">
        <f>添付資料!D50</f>
        <v>0</v>
      </c>
      <c r="D27" s="109"/>
      <c r="E27" s="110"/>
      <c r="F27" s="117">
        <f>添付資料!F50</f>
        <v>0</v>
      </c>
      <c r="G27" s="118"/>
      <c r="H27" s="123">
        <f>添付資料!H50</f>
        <v>0</v>
      </c>
      <c r="I27" s="124"/>
      <c r="J27" s="117">
        <f>添付資料!F60</f>
        <v>0</v>
      </c>
      <c r="K27" s="118"/>
      <c r="L27" s="302">
        <f>添付資料!H60</f>
        <v>0</v>
      </c>
      <c r="M27" s="303"/>
      <c r="N27" s="308"/>
      <c r="O27" s="309"/>
      <c r="P27" s="191"/>
      <c r="Q27" s="314"/>
      <c r="R27" s="315"/>
      <c r="S27" s="123"/>
      <c r="T27" s="124"/>
      <c r="U27" s="314"/>
      <c r="V27" s="315"/>
      <c r="W27" s="418"/>
      <c r="X27" s="419"/>
      <c r="Y27" s="329">
        <f>添付資料!C85</f>
        <v>0</v>
      </c>
      <c r="Z27" s="423"/>
      <c r="AA27" s="423"/>
      <c r="AB27" s="424"/>
      <c r="AC27" s="209" t="s">
        <v>24</v>
      </c>
      <c r="AD27" s="210"/>
      <c r="AE27" s="211"/>
      <c r="AF27" s="209" t="s">
        <v>24</v>
      </c>
      <c r="AG27" s="210"/>
      <c r="AH27" s="217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</row>
    <row r="28" spans="3:70" ht="20.100000000000001" customHeight="1" x14ac:dyDescent="0.2">
      <c r="C28" s="111">
        <f>添付資料!D51</f>
        <v>0</v>
      </c>
      <c r="D28" s="112"/>
      <c r="E28" s="113"/>
      <c r="F28" s="119">
        <f>添付資料!F51</f>
        <v>0</v>
      </c>
      <c r="G28" s="120"/>
      <c r="H28" s="125">
        <f>添付資料!H51</f>
        <v>0</v>
      </c>
      <c r="I28" s="126"/>
      <c r="J28" s="119">
        <f>添付資料!F61</f>
        <v>0</v>
      </c>
      <c r="K28" s="120"/>
      <c r="L28" s="304">
        <f>添付資料!H61</f>
        <v>0</v>
      </c>
      <c r="M28" s="305"/>
      <c r="N28" s="310"/>
      <c r="O28" s="311"/>
      <c r="P28" s="312"/>
      <c r="Q28" s="416"/>
      <c r="R28" s="417"/>
      <c r="S28" s="125"/>
      <c r="T28" s="126"/>
      <c r="U28" s="416"/>
      <c r="V28" s="417"/>
      <c r="W28" s="420"/>
      <c r="X28" s="421"/>
      <c r="Y28" s="329">
        <f>添付資料!C86</f>
        <v>0</v>
      </c>
      <c r="Z28" s="423"/>
      <c r="AA28" s="423"/>
      <c r="AB28" s="424"/>
      <c r="AC28" s="209" t="s">
        <v>24</v>
      </c>
      <c r="AD28" s="210"/>
      <c r="AE28" s="211"/>
      <c r="AF28" s="209" t="s">
        <v>24</v>
      </c>
      <c r="AG28" s="210"/>
      <c r="AH28" s="217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2"/>
      <c r="BJ28" s="132"/>
      <c r="BK28" s="132"/>
      <c r="BL28" s="132"/>
      <c r="BM28" s="132"/>
      <c r="BN28" s="132"/>
      <c r="BO28" s="132"/>
      <c r="BP28" s="134"/>
      <c r="BQ28" s="134"/>
      <c r="BR28" s="134"/>
    </row>
    <row r="29" spans="3:70" ht="20.100000000000001" customHeight="1" thickBot="1" x14ac:dyDescent="0.25">
      <c r="C29" s="114">
        <f>添付資料!D52</f>
        <v>0</v>
      </c>
      <c r="D29" s="115"/>
      <c r="E29" s="116"/>
      <c r="F29" s="121">
        <f>添付資料!F52</f>
        <v>0</v>
      </c>
      <c r="G29" s="122"/>
      <c r="H29" s="127">
        <f>添付資料!H52</f>
        <v>0</v>
      </c>
      <c r="I29" s="128"/>
      <c r="J29" s="300">
        <f>添付資料!F62</f>
        <v>0</v>
      </c>
      <c r="K29" s="301"/>
      <c r="L29" s="306">
        <f>添付資料!H62</f>
        <v>0</v>
      </c>
      <c r="M29" s="307"/>
      <c r="N29" s="248"/>
      <c r="O29" s="249"/>
      <c r="P29" s="313"/>
      <c r="Q29" s="412"/>
      <c r="R29" s="413"/>
      <c r="S29" s="414"/>
      <c r="T29" s="415"/>
      <c r="U29" s="412"/>
      <c r="V29" s="413"/>
      <c r="W29" s="201"/>
      <c r="X29" s="422"/>
      <c r="Y29" s="425"/>
      <c r="Z29" s="426"/>
      <c r="AA29" s="426"/>
      <c r="AB29" s="427"/>
      <c r="AC29" s="228" t="s">
        <v>24</v>
      </c>
      <c r="AD29" s="229"/>
      <c r="AE29" s="230"/>
      <c r="AF29" s="228" t="s">
        <v>24</v>
      </c>
      <c r="AG29" s="229"/>
      <c r="AH29" s="292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5"/>
      <c r="BJ29" s="5"/>
      <c r="BK29" s="5"/>
      <c r="BL29" s="5"/>
      <c r="BM29" s="129"/>
      <c r="BN29" s="129"/>
      <c r="BO29" s="129"/>
      <c r="BP29" s="129"/>
      <c r="BQ29" s="129"/>
      <c r="BR29" s="129"/>
    </row>
    <row r="30" spans="3:70" ht="11.25" customHeight="1" x14ac:dyDescent="0.2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0"/>
      <c r="AD30" s="20"/>
      <c r="AE30" s="20"/>
      <c r="AF30" s="20"/>
      <c r="AG30" s="20"/>
      <c r="AH30" s="20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129"/>
      <c r="BN30" s="129"/>
      <c r="BO30" s="129"/>
      <c r="BP30" s="129"/>
      <c r="BQ30" s="129"/>
      <c r="BR30" s="129"/>
    </row>
    <row r="31" spans="3:70" ht="9" customHeight="1" thickBot="1" x14ac:dyDescent="0.25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18"/>
      <c r="AD31" s="18"/>
      <c r="AE31" s="18"/>
      <c r="AF31" s="18"/>
      <c r="AG31" s="18"/>
      <c r="AH31" s="18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129"/>
      <c r="BN31" s="129"/>
      <c r="BO31" s="129"/>
      <c r="BP31" s="129"/>
      <c r="BQ31" s="129"/>
      <c r="BR31" s="129"/>
    </row>
    <row r="32" spans="3:70" ht="20.100000000000001" customHeight="1" thickBot="1" x14ac:dyDescent="0.25">
      <c r="C32" s="218" t="s">
        <v>22</v>
      </c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20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129"/>
      <c r="BN32" s="129"/>
      <c r="BO32" s="129"/>
      <c r="BP32" s="129"/>
      <c r="BQ32" s="129"/>
      <c r="BR32" s="129"/>
    </row>
    <row r="33" spans="3:34" ht="20.100000000000001" customHeight="1" x14ac:dyDescent="0.2">
      <c r="C33" s="212" t="s">
        <v>14</v>
      </c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4"/>
      <c r="S33" s="212" t="s">
        <v>19</v>
      </c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4"/>
    </row>
    <row r="34" spans="3:34" ht="20.100000000000001" customHeight="1" x14ac:dyDescent="0.2">
      <c r="C34" s="173" t="s">
        <v>15</v>
      </c>
      <c r="D34" s="174"/>
      <c r="E34" s="245"/>
      <c r="F34" s="286" t="s">
        <v>5</v>
      </c>
      <c r="G34" s="174"/>
      <c r="H34" s="174"/>
      <c r="I34" s="245"/>
      <c r="J34" s="316" t="s">
        <v>6</v>
      </c>
      <c r="K34" s="286" t="s">
        <v>81</v>
      </c>
      <c r="L34" s="174"/>
      <c r="M34" s="174"/>
      <c r="N34" s="245"/>
      <c r="O34" s="286" t="s">
        <v>354</v>
      </c>
      <c r="P34" s="174"/>
      <c r="Q34" s="174"/>
      <c r="R34" s="288"/>
      <c r="S34" s="173" t="s">
        <v>20</v>
      </c>
      <c r="T34" s="174"/>
      <c r="U34" s="174"/>
      <c r="V34" s="259"/>
      <c r="W34" s="291" t="s">
        <v>5</v>
      </c>
      <c r="X34" s="174"/>
      <c r="Y34" s="174"/>
      <c r="Z34" s="245"/>
      <c r="AA34" s="231" t="s">
        <v>16</v>
      </c>
      <c r="AB34" s="232"/>
      <c r="AC34" s="232"/>
      <c r="AD34" s="232"/>
      <c r="AE34" s="232"/>
      <c r="AF34" s="232"/>
      <c r="AG34" s="232"/>
      <c r="AH34" s="233"/>
    </row>
    <row r="35" spans="3:34" ht="15.75" customHeight="1" x14ac:dyDescent="0.2">
      <c r="C35" s="175"/>
      <c r="D35" s="132"/>
      <c r="E35" s="246"/>
      <c r="F35" s="244" t="s">
        <v>7</v>
      </c>
      <c r="G35" s="244"/>
      <c r="H35" s="244" t="s">
        <v>8</v>
      </c>
      <c r="I35" s="244"/>
      <c r="J35" s="317"/>
      <c r="K35" s="287"/>
      <c r="L35" s="132"/>
      <c r="M35" s="132"/>
      <c r="N35" s="246"/>
      <c r="O35" s="287"/>
      <c r="P35" s="132"/>
      <c r="Q35" s="132"/>
      <c r="R35" s="289"/>
      <c r="S35" s="175"/>
      <c r="T35" s="132"/>
      <c r="U35" s="132"/>
      <c r="V35" s="132"/>
      <c r="W35" s="244" t="s">
        <v>7</v>
      </c>
      <c r="X35" s="244"/>
      <c r="Y35" s="244" t="s">
        <v>8</v>
      </c>
      <c r="Z35" s="244"/>
      <c r="AA35" s="231" t="s">
        <v>74</v>
      </c>
      <c r="AB35" s="232"/>
      <c r="AC35" s="232"/>
      <c r="AD35" s="232"/>
      <c r="AE35" s="293" t="s">
        <v>352</v>
      </c>
      <c r="AF35" s="112"/>
      <c r="AG35" s="112"/>
      <c r="AH35" s="294"/>
    </row>
    <row r="36" spans="3:34" ht="15" customHeight="1" x14ac:dyDescent="0.2">
      <c r="C36" s="206"/>
      <c r="D36" s="207"/>
      <c r="E36" s="247"/>
      <c r="F36" s="244"/>
      <c r="G36" s="244"/>
      <c r="H36" s="244"/>
      <c r="I36" s="244"/>
      <c r="J36" s="318"/>
      <c r="K36" s="179"/>
      <c r="L36" s="188"/>
      <c r="M36" s="188"/>
      <c r="N36" s="178"/>
      <c r="O36" s="179"/>
      <c r="P36" s="188"/>
      <c r="Q36" s="188"/>
      <c r="R36" s="290"/>
      <c r="S36" s="206"/>
      <c r="T36" s="207"/>
      <c r="U36" s="207"/>
      <c r="V36" s="207"/>
      <c r="W36" s="244"/>
      <c r="X36" s="244"/>
      <c r="Y36" s="244"/>
      <c r="Z36" s="244"/>
      <c r="AA36" s="297" t="s">
        <v>75</v>
      </c>
      <c r="AB36" s="298"/>
      <c r="AC36" s="295" t="s">
        <v>76</v>
      </c>
      <c r="AD36" s="296"/>
      <c r="AE36" s="297" t="s">
        <v>75</v>
      </c>
      <c r="AF36" s="298"/>
      <c r="AG36" s="295" t="s">
        <v>76</v>
      </c>
      <c r="AH36" s="299"/>
    </row>
    <row r="37" spans="3:34" ht="20.100000000000001" customHeight="1" x14ac:dyDescent="0.2">
      <c r="C37" s="173" t="s">
        <v>9</v>
      </c>
      <c r="D37" s="174"/>
      <c r="E37" s="259"/>
      <c r="F37" s="428" t="s">
        <v>201</v>
      </c>
      <c r="G37" s="312"/>
      <c r="H37" s="428" t="s">
        <v>202</v>
      </c>
      <c r="I37" s="431"/>
      <c r="J37" s="9" t="s">
        <v>204</v>
      </c>
      <c r="K37" s="433">
        <f>添付資料!I21-K38</f>
        <v>0</v>
      </c>
      <c r="L37" s="434"/>
      <c r="M37" s="434"/>
      <c r="N37" s="435"/>
      <c r="O37" s="433">
        <f>添付資料!S21-簡易版!O38</f>
        <v>0</v>
      </c>
      <c r="P37" s="434"/>
      <c r="Q37" s="434"/>
      <c r="R37" s="439"/>
      <c r="S37" s="329"/>
      <c r="T37" s="423"/>
      <c r="U37" s="423"/>
      <c r="V37" s="424"/>
      <c r="W37" s="222" t="s">
        <v>315</v>
      </c>
      <c r="X37" s="424"/>
      <c r="Y37" s="222" t="s">
        <v>316</v>
      </c>
      <c r="Z37" s="424"/>
      <c r="AA37" s="442"/>
      <c r="AB37" s="443"/>
      <c r="AC37" s="444"/>
      <c r="AD37" s="454"/>
      <c r="AE37" s="442"/>
      <c r="AF37" s="443"/>
      <c r="AG37" s="444"/>
      <c r="AH37" s="445"/>
    </row>
    <row r="38" spans="3:34" ht="20.100000000000001" customHeight="1" x14ac:dyDescent="0.2">
      <c r="C38" s="175"/>
      <c r="D38" s="132"/>
      <c r="E38" s="260"/>
      <c r="F38" s="429" t="s">
        <v>206</v>
      </c>
      <c r="G38" s="430"/>
      <c r="H38" s="429" t="s">
        <v>314</v>
      </c>
      <c r="I38" s="432"/>
      <c r="J38" s="9" t="s">
        <v>205</v>
      </c>
      <c r="K38" s="433"/>
      <c r="L38" s="434"/>
      <c r="M38" s="434"/>
      <c r="N38" s="435"/>
      <c r="O38" s="433"/>
      <c r="P38" s="434"/>
      <c r="Q38" s="434"/>
      <c r="R38" s="439"/>
      <c r="S38" s="329"/>
      <c r="T38" s="423"/>
      <c r="U38" s="423"/>
      <c r="V38" s="424"/>
      <c r="W38" s="222"/>
      <c r="X38" s="424"/>
      <c r="Y38" s="222"/>
      <c r="Z38" s="424"/>
      <c r="AA38" s="442"/>
      <c r="AB38" s="443"/>
      <c r="AC38" s="444"/>
      <c r="AD38" s="454"/>
      <c r="AE38" s="442"/>
      <c r="AF38" s="443"/>
      <c r="AG38" s="444"/>
      <c r="AH38" s="445"/>
    </row>
    <row r="39" spans="3:34" ht="20.100000000000001" customHeight="1" x14ac:dyDescent="0.2">
      <c r="C39" s="203" t="s">
        <v>10</v>
      </c>
      <c r="D39" s="204"/>
      <c r="E39" s="205"/>
      <c r="F39" s="429" t="s">
        <v>206</v>
      </c>
      <c r="G39" s="430"/>
      <c r="H39" s="429" t="s">
        <v>314</v>
      </c>
      <c r="I39" s="432"/>
      <c r="J39" s="9" t="s">
        <v>203</v>
      </c>
      <c r="K39" s="433">
        <f>添付資料!I19</f>
        <v>0</v>
      </c>
      <c r="L39" s="434"/>
      <c r="M39" s="434"/>
      <c r="N39" s="435"/>
      <c r="O39" s="433">
        <f>添付資料!S19</f>
        <v>0</v>
      </c>
      <c r="P39" s="434"/>
      <c r="Q39" s="434"/>
      <c r="R39" s="439"/>
      <c r="S39" s="329"/>
      <c r="T39" s="423"/>
      <c r="U39" s="423"/>
      <c r="V39" s="424"/>
      <c r="W39" s="222"/>
      <c r="X39" s="424"/>
      <c r="Y39" s="222"/>
      <c r="Z39" s="424"/>
      <c r="AA39" s="442"/>
      <c r="AB39" s="443"/>
      <c r="AC39" s="444"/>
      <c r="AD39" s="454"/>
      <c r="AE39" s="442"/>
      <c r="AF39" s="443"/>
      <c r="AG39" s="444"/>
      <c r="AH39" s="445"/>
    </row>
    <row r="40" spans="3:34" ht="20.100000000000001" customHeight="1" x14ac:dyDescent="0.2">
      <c r="C40" s="206"/>
      <c r="D40" s="207"/>
      <c r="E40" s="208"/>
      <c r="F40" s="429"/>
      <c r="G40" s="430"/>
      <c r="H40" s="190"/>
      <c r="I40" s="192"/>
      <c r="J40" s="17"/>
      <c r="K40" s="433"/>
      <c r="L40" s="434"/>
      <c r="M40" s="434"/>
      <c r="N40" s="435"/>
      <c r="O40" s="433"/>
      <c r="P40" s="434"/>
      <c r="Q40" s="434"/>
      <c r="R40" s="439"/>
      <c r="S40" s="329"/>
      <c r="T40" s="423"/>
      <c r="U40" s="423"/>
      <c r="V40" s="424"/>
      <c r="W40" s="222"/>
      <c r="X40" s="424"/>
      <c r="Y40" s="222"/>
      <c r="Z40" s="424"/>
      <c r="AA40" s="442"/>
      <c r="AB40" s="443"/>
      <c r="AC40" s="444"/>
      <c r="AD40" s="454"/>
      <c r="AE40" s="442"/>
      <c r="AF40" s="443"/>
      <c r="AG40" s="444"/>
      <c r="AH40" s="445"/>
    </row>
    <row r="41" spans="3:34" ht="20.100000000000001" customHeight="1" x14ac:dyDescent="0.2">
      <c r="C41" s="173" t="s">
        <v>78</v>
      </c>
      <c r="D41" s="174"/>
      <c r="E41" s="174"/>
      <c r="F41" s="429"/>
      <c r="G41" s="430"/>
      <c r="H41" s="428"/>
      <c r="I41" s="431"/>
      <c r="J41" s="107"/>
      <c r="K41" s="436"/>
      <c r="L41" s="437"/>
      <c r="M41" s="437"/>
      <c r="N41" s="438"/>
      <c r="O41" s="436"/>
      <c r="P41" s="437"/>
      <c r="Q41" s="437"/>
      <c r="R41" s="440"/>
      <c r="S41" s="329"/>
      <c r="T41" s="423"/>
      <c r="U41" s="423"/>
      <c r="V41" s="424"/>
      <c r="W41" s="222"/>
      <c r="X41" s="424"/>
      <c r="Y41" s="222"/>
      <c r="Z41" s="424"/>
      <c r="AA41" s="442"/>
      <c r="AB41" s="443"/>
      <c r="AC41" s="444"/>
      <c r="AD41" s="454"/>
      <c r="AE41" s="442"/>
      <c r="AF41" s="443"/>
      <c r="AG41" s="444"/>
      <c r="AH41" s="445"/>
    </row>
    <row r="42" spans="3:34" ht="20.100000000000001" customHeight="1" x14ac:dyDescent="0.2">
      <c r="C42" s="175"/>
      <c r="D42" s="132"/>
      <c r="E42" s="132"/>
      <c r="F42" s="190"/>
      <c r="G42" s="191"/>
      <c r="H42" s="190"/>
      <c r="I42" s="192"/>
      <c r="J42" s="17"/>
      <c r="K42" s="193"/>
      <c r="L42" s="194"/>
      <c r="M42" s="194"/>
      <c r="N42" s="195"/>
      <c r="O42" s="193"/>
      <c r="P42" s="194"/>
      <c r="Q42" s="194"/>
      <c r="R42" s="199"/>
      <c r="S42" s="310"/>
      <c r="T42" s="311"/>
      <c r="U42" s="311"/>
      <c r="V42" s="431"/>
      <c r="W42" s="441"/>
      <c r="X42" s="431"/>
      <c r="Y42" s="441"/>
      <c r="Z42" s="431"/>
      <c r="AA42" s="442"/>
      <c r="AB42" s="443"/>
      <c r="AC42" s="444"/>
      <c r="AD42" s="454"/>
      <c r="AE42" s="442"/>
      <c r="AF42" s="443"/>
      <c r="AG42" s="444"/>
      <c r="AH42" s="445"/>
    </row>
    <row r="43" spans="3:34" ht="20.100000000000001" customHeight="1" thickBot="1" x14ac:dyDescent="0.25">
      <c r="C43" s="158" t="s">
        <v>77</v>
      </c>
      <c r="D43" s="159"/>
      <c r="E43" s="159"/>
      <c r="F43" s="159"/>
      <c r="G43" s="159"/>
      <c r="H43" s="159"/>
      <c r="I43" s="159"/>
      <c r="J43" s="160"/>
      <c r="K43" s="196">
        <f>SUM(K37:N42)</f>
        <v>0</v>
      </c>
      <c r="L43" s="197"/>
      <c r="M43" s="197"/>
      <c r="N43" s="198"/>
      <c r="O43" s="196">
        <f>SUM(O37:R42)</f>
        <v>0</v>
      </c>
      <c r="P43" s="197"/>
      <c r="Q43" s="197"/>
      <c r="R43" s="200"/>
      <c r="S43" s="248" t="s">
        <v>77</v>
      </c>
      <c r="T43" s="249"/>
      <c r="U43" s="249"/>
      <c r="V43" s="249"/>
      <c r="W43" s="249"/>
      <c r="X43" s="249"/>
      <c r="Y43" s="249"/>
      <c r="Z43" s="250"/>
      <c r="AA43" s="201">
        <f>SUM(AA37:AB42)</f>
        <v>0</v>
      </c>
      <c r="AB43" s="202"/>
      <c r="AC43" s="446">
        <f>SUM(AC37:AD42)</f>
        <v>0</v>
      </c>
      <c r="AD43" s="301"/>
      <c r="AE43" s="201">
        <f>SUM(AE37:AF42)</f>
        <v>0</v>
      </c>
      <c r="AF43" s="202"/>
      <c r="AG43" s="446">
        <f>SUM(AG37:AH42)</f>
        <v>0</v>
      </c>
      <c r="AH43" s="447"/>
    </row>
    <row r="44" spans="3:34" ht="20.100000000000001" customHeight="1" x14ac:dyDescent="0.2">
      <c r="C44" s="212" t="s">
        <v>33</v>
      </c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4"/>
      <c r="S44" s="180" t="s">
        <v>66</v>
      </c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2"/>
    </row>
    <row r="45" spans="3:34" ht="20.100000000000001" customHeight="1" x14ac:dyDescent="0.2">
      <c r="C45" s="164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/>
      <c r="S45" s="164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6"/>
    </row>
    <row r="46" spans="3:34" ht="20.100000000000001" customHeight="1" x14ac:dyDescent="0.2">
      <c r="C46" s="167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9"/>
      <c r="S46" s="167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9"/>
    </row>
    <row r="47" spans="3:34" ht="20.100000000000001" customHeight="1" x14ac:dyDescent="0.2">
      <c r="C47" s="167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9"/>
      <c r="S47" s="167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9"/>
    </row>
    <row r="48" spans="3:34" ht="20.100000000000001" customHeight="1" thickBot="1" x14ac:dyDescent="0.25">
      <c r="C48" s="170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2"/>
      <c r="S48" s="170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2"/>
    </row>
    <row r="49" spans="3:34" ht="20.100000000000001" customHeight="1" x14ac:dyDescent="0.2">
      <c r="C49" s="180" t="s">
        <v>67</v>
      </c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2"/>
      <c r="S49" s="180" t="s">
        <v>64</v>
      </c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2"/>
    </row>
    <row r="50" spans="3:34" ht="20.100000000000001" customHeight="1" x14ac:dyDescent="0.2">
      <c r="C50" s="164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/>
      <c r="S50" s="164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6"/>
    </row>
    <row r="51" spans="3:34" ht="20.100000000000001" customHeight="1" x14ac:dyDescent="0.2">
      <c r="C51" s="167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9"/>
      <c r="S51" s="167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9"/>
    </row>
    <row r="52" spans="3:34" ht="20.100000000000001" customHeight="1" x14ac:dyDescent="0.2">
      <c r="C52" s="167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9"/>
      <c r="S52" s="167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9"/>
    </row>
    <row r="53" spans="3:34" ht="20.100000000000001" customHeight="1" thickBot="1" x14ac:dyDescent="0.25">
      <c r="C53" s="170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2"/>
      <c r="S53" s="170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2"/>
    </row>
    <row r="54" spans="3:34" ht="8.25" customHeight="1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</row>
    <row r="55" spans="3:34" ht="20.100000000000001" customHeight="1" x14ac:dyDescent="0.2">
      <c r="C55" s="131" t="s">
        <v>36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</row>
    <row r="56" spans="3:34" ht="20.100000000000001" customHeight="1" x14ac:dyDescent="0.2">
      <c r="C56" s="155" t="s">
        <v>37</v>
      </c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  <c r="U56" s="161" t="s">
        <v>44</v>
      </c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3"/>
    </row>
    <row r="57" spans="3:34" ht="20.100000000000001" customHeight="1" x14ac:dyDescent="0.2">
      <c r="C57" s="286" t="s">
        <v>38</v>
      </c>
      <c r="D57" s="174"/>
      <c r="E57" s="174"/>
      <c r="F57" s="259"/>
      <c r="G57" s="291" t="s">
        <v>39</v>
      </c>
      <c r="H57" s="291" t="s">
        <v>40</v>
      </c>
      <c r="I57" s="406" t="s">
        <v>41</v>
      </c>
      <c r="J57" s="407"/>
      <c r="K57" s="291" t="s">
        <v>3</v>
      </c>
      <c r="L57" s="174"/>
      <c r="M57" s="174"/>
      <c r="N57" s="174"/>
      <c r="O57" s="259"/>
      <c r="P57" s="185" t="s">
        <v>353</v>
      </c>
      <c r="Q57" s="186"/>
      <c r="R57" s="186"/>
      <c r="S57" s="186"/>
      <c r="T57" s="187"/>
      <c r="U57" s="179" t="s">
        <v>45</v>
      </c>
      <c r="V57" s="188"/>
      <c r="W57" s="188"/>
      <c r="X57" s="189"/>
      <c r="Y57" s="177" t="s">
        <v>46</v>
      </c>
      <c r="Z57" s="178"/>
      <c r="AA57" s="179" t="s">
        <v>47</v>
      </c>
      <c r="AB57" s="178"/>
      <c r="AC57" s="14"/>
      <c r="AD57" s="98" t="s">
        <v>48</v>
      </c>
      <c r="AE57" s="179" t="s">
        <v>49</v>
      </c>
      <c r="AF57" s="178"/>
      <c r="AG57" s="14"/>
      <c r="AH57" s="98" t="s">
        <v>48</v>
      </c>
    </row>
    <row r="58" spans="3:34" ht="20.100000000000001" customHeight="1" x14ac:dyDescent="0.2">
      <c r="C58" s="287"/>
      <c r="D58" s="132"/>
      <c r="E58" s="132"/>
      <c r="F58" s="260"/>
      <c r="G58" s="389"/>
      <c r="H58" s="389"/>
      <c r="I58" s="408"/>
      <c r="J58" s="409"/>
      <c r="K58" s="390" t="s">
        <v>42</v>
      </c>
      <c r="L58" s="390"/>
      <c r="M58" s="391" t="s">
        <v>43</v>
      </c>
      <c r="N58" s="392" t="s">
        <v>82</v>
      </c>
      <c r="O58" s="393"/>
      <c r="P58" s="390" t="s">
        <v>42</v>
      </c>
      <c r="Q58" s="390"/>
      <c r="R58" s="391" t="s">
        <v>43</v>
      </c>
      <c r="S58" s="392" t="s">
        <v>82</v>
      </c>
      <c r="T58" s="393"/>
      <c r="U58" s="394" t="s">
        <v>50</v>
      </c>
      <c r="V58" s="204"/>
      <c r="W58" s="204"/>
      <c r="X58" s="205"/>
      <c r="Y58" s="396" t="s">
        <v>46</v>
      </c>
      <c r="Z58" s="397"/>
      <c r="AA58" s="398" t="s">
        <v>47</v>
      </c>
      <c r="AB58" s="397"/>
      <c r="AC58" s="94"/>
      <c r="AD58" s="97" t="s">
        <v>48</v>
      </c>
      <c r="AE58" s="398" t="s">
        <v>49</v>
      </c>
      <c r="AF58" s="397"/>
      <c r="AG58" s="94"/>
      <c r="AH58" s="97" t="s">
        <v>48</v>
      </c>
    </row>
    <row r="59" spans="3:34" ht="20.100000000000001" customHeight="1" x14ac:dyDescent="0.2">
      <c r="C59" s="179"/>
      <c r="D59" s="188"/>
      <c r="E59" s="188"/>
      <c r="F59" s="189"/>
      <c r="G59" s="389"/>
      <c r="H59" s="389"/>
      <c r="I59" s="410"/>
      <c r="J59" s="411"/>
      <c r="K59" s="390"/>
      <c r="L59" s="390"/>
      <c r="M59" s="391"/>
      <c r="N59" s="393"/>
      <c r="O59" s="393"/>
      <c r="P59" s="390"/>
      <c r="Q59" s="390"/>
      <c r="R59" s="391"/>
      <c r="S59" s="393"/>
      <c r="T59" s="393"/>
      <c r="U59" s="395"/>
      <c r="V59" s="207"/>
      <c r="W59" s="207"/>
      <c r="X59" s="208"/>
      <c r="Y59" s="399" t="s">
        <v>51</v>
      </c>
      <c r="Z59" s="184"/>
      <c r="AA59" s="183" t="s">
        <v>47</v>
      </c>
      <c r="AB59" s="184"/>
      <c r="AC59" s="94"/>
      <c r="AD59" s="97" t="s">
        <v>48</v>
      </c>
      <c r="AE59" s="183" t="s">
        <v>49</v>
      </c>
      <c r="AF59" s="184"/>
      <c r="AG59" s="94"/>
      <c r="AH59" s="97" t="s">
        <v>48</v>
      </c>
    </row>
    <row r="60" spans="3:34" ht="20.100000000000001" customHeight="1" x14ac:dyDescent="0.15">
      <c r="C60" s="402"/>
      <c r="D60" s="403"/>
      <c r="E60" s="403"/>
      <c r="F60" s="404"/>
      <c r="G60" s="96"/>
      <c r="H60" s="96"/>
      <c r="I60" s="405" t="s">
        <v>52</v>
      </c>
      <c r="J60" s="110"/>
      <c r="K60" s="463"/>
      <c r="L60" s="464"/>
      <c r="M60" s="83" t="s">
        <v>313</v>
      </c>
      <c r="N60" s="451"/>
      <c r="O60" s="452"/>
      <c r="P60" s="463"/>
      <c r="Q60" s="464"/>
      <c r="R60" s="83" t="s">
        <v>313</v>
      </c>
      <c r="S60" s="451"/>
      <c r="T60" s="468"/>
      <c r="U60" s="93"/>
    </row>
    <row r="61" spans="3:34" ht="20.100000000000001" customHeight="1" x14ac:dyDescent="0.15">
      <c r="C61" s="448"/>
      <c r="D61" s="449"/>
      <c r="E61" s="449"/>
      <c r="F61" s="450"/>
      <c r="G61" s="85"/>
      <c r="H61" s="85"/>
      <c r="I61" s="441"/>
      <c r="J61" s="312"/>
      <c r="K61" s="428"/>
      <c r="L61" s="312"/>
      <c r="M61" s="84"/>
      <c r="N61" s="416"/>
      <c r="O61" s="453"/>
      <c r="P61" s="428"/>
      <c r="Q61" s="312"/>
      <c r="R61" s="84"/>
      <c r="S61" s="416"/>
      <c r="T61" s="417"/>
      <c r="U61" s="5"/>
    </row>
    <row r="62" spans="3:34" ht="20.100000000000001" customHeight="1" x14ac:dyDescent="0.15">
      <c r="C62" s="455"/>
      <c r="D62" s="456"/>
      <c r="E62" s="456"/>
      <c r="F62" s="457"/>
      <c r="G62" s="96"/>
      <c r="H62" s="96"/>
      <c r="I62" s="461"/>
      <c r="J62" s="430"/>
      <c r="K62" s="429"/>
      <c r="L62" s="430"/>
      <c r="M62" s="99"/>
      <c r="N62" s="465"/>
      <c r="O62" s="466"/>
      <c r="P62" s="429"/>
      <c r="Q62" s="430"/>
      <c r="R62" s="99"/>
      <c r="S62" s="465"/>
      <c r="T62" s="469"/>
      <c r="U62" s="5"/>
    </row>
    <row r="63" spans="3:34" ht="20.100000000000001" customHeight="1" x14ac:dyDescent="0.15">
      <c r="C63" s="458"/>
      <c r="D63" s="459"/>
      <c r="E63" s="459"/>
      <c r="F63" s="460"/>
      <c r="G63" s="96"/>
      <c r="H63" s="96"/>
      <c r="I63" s="462"/>
      <c r="J63" s="191"/>
      <c r="K63" s="190"/>
      <c r="L63" s="191"/>
      <c r="M63" s="100"/>
      <c r="N63" s="314"/>
      <c r="O63" s="467"/>
      <c r="P63" s="190"/>
      <c r="Q63" s="191"/>
      <c r="R63" s="100"/>
      <c r="S63" s="314"/>
      <c r="T63" s="315"/>
      <c r="U63" s="5"/>
    </row>
    <row r="64" spans="3:34" ht="12.75" customHeight="1" x14ac:dyDescent="0.2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3:69" ht="7.5" customHeight="1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3:69" ht="20.100000000000001" customHeight="1" thickBot="1" x14ac:dyDescent="0.25">
      <c r="C66" s="4" t="s">
        <v>56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95"/>
      <c r="T66" s="95"/>
      <c r="U66" s="95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</row>
    <row r="67" spans="3:69" ht="24" customHeight="1" x14ac:dyDescent="0.2">
      <c r="C67" s="386" t="s">
        <v>55</v>
      </c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8"/>
      <c r="Q67" s="400" t="s">
        <v>53</v>
      </c>
      <c r="R67" s="387"/>
      <c r="S67" s="387"/>
      <c r="T67" s="387"/>
      <c r="U67" s="401"/>
    </row>
    <row r="68" spans="3:69" ht="24" customHeight="1" x14ac:dyDescent="0.2">
      <c r="C68" s="470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330"/>
      <c r="Q68" s="231"/>
      <c r="R68" s="232"/>
      <c r="S68" s="232"/>
      <c r="T68" s="232"/>
      <c r="U68" s="233"/>
    </row>
    <row r="69" spans="3:69" ht="24" customHeight="1" x14ac:dyDescent="0.2">
      <c r="C69" s="470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330"/>
      <c r="Q69" s="231"/>
      <c r="R69" s="232"/>
      <c r="S69" s="232"/>
      <c r="T69" s="232"/>
      <c r="U69" s="233"/>
    </row>
    <row r="70" spans="3:69" ht="24" customHeight="1" x14ac:dyDescent="0.2">
      <c r="C70" s="470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330"/>
      <c r="Q70" s="231"/>
      <c r="R70" s="232"/>
      <c r="S70" s="232"/>
      <c r="T70" s="232"/>
      <c r="U70" s="233"/>
    </row>
    <row r="71" spans="3:69" ht="24" customHeight="1" x14ac:dyDescent="0.2">
      <c r="C71" s="470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330"/>
      <c r="Q71" s="231"/>
      <c r="R71" s="232"/>
      <c r="S71" s="232"/>
      <c r="T71" s="232"/>
      <c r="U71" s="233"/>
    </row>
    <row r="72" spans="3:69" ht="24" customHeight="1" x14ac:dyDescent="0.2">
      <c r="C72" s="470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330"/>
      <c r="Q72" s="231"/>
      <c r="R72" s="232"/>
      <c r="S72" s="232"/>
      <c r="T72" s="232"/>
      <c r="U72" s="233"/>
    </row>
    <row r="73" spans="3:69" ht="24" customHeight="1" x14ac:dyDescent="0.2">
      <c r="C73" s="470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330"/>
      <c r="Q73" s="231"/>
      <c r="R73" s="232"/>
      <c r="S73" s="232"/>
      <c r="T73" s="232"/>
      <c r="U73" s="233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95"/>
      <c r="BC73" s="95"/>
      <c r="BD73" s="95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</row>
    <row r="74" spans="3:69" ht="24" customHeight="1" x14ac:dyDescent="0.2">
      <c r="C74" s="470"/>
      <c r="D74" s="232"/>
      <c r="E74" s="232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330"/>
      <c r="Q74" s="231"/>
      <c r="R74" s="232"/>
      <c r="S74" s="232"/>
      <c r="T74" s="232"/>
      <c r="U74" s="233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  <c r="AW74" s="176"/>
      <c r="AX74" s="176"/>
      <c r="AY74" s="176"/>
      <c r="AZ74" s="176"/>
      <c r="BA74" s="176"/>
      <c r="BB74" s="176"/>
      <c r="BC74" s="176"/>
      <c r="BD74" s="176"/>
    </row>
    <row r="75" spans="3:69" ht="24" customHeight="1" x14ac:dyDescent="0.2">
      <c r="C75" s="470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330"/>
      <c r="Q75" s="231"/>
      <c r="R75" s="232"/>
      <c r="S75" s="232"/>
      <c r="T75" s="232"/>
      <c r="U75" s="233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1"/>
      <c r="AX75" s="1"/>
      <c r="AY75" s="1"/>
      <c r="AZ75" s="90"/>
      <c r="BA75" s="90"/>
      <c r="BB75" s="90"/>
      <c r="BC75" s="90"/>
      <c r="BD75" s="90"/>
    </row>
    <row r="76" spans="3:69" ht="24" customHeight="1" x14ac:dyDescent="0.2">
      <c r="C76" s="470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330"/>
      <c r="Q76" s="231"/>
      <c r="R76" s="232"/>
      <c r="S76" s="232"/>
      <c r="T76" s="232"/>
      <c r="U76" s="233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1"/>
      <c r="AX76" s="1"/>
      <c r="AY76" s="1"/>
      <c r="AZ76" s="90"/>
      <c r="BA76" s="90"/>
      <c r="BB76" s="90"/>
      <c r="BC76" s="90"/>
      <c r="BD76" s="90"/>
    </row>
    <row r="77" spans="3:69" ht="24" customHeight="1" x14ac:dyDescent="0.2">
      <c r="C77" s="470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330"/>
      <c r="Q77" s="231"/>
      <c r="R77" s="232"/>
      <c r="S77" s="232"/>
      <c r="T77" s="232"/>
      <c r="U77" s="233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1"/>
      <c r="AX77" s="1"/>
      <c r="AY77" s="1"/>
      <c r="AZ77" s="90"/>
      <c r="BA77" s="90"/>
      <c r="BB77" s="90"/>
      <c r="BC77" s="90"/>
      <c r="BD77" s="90"/>
    </row>
    <row r="78" spans="3:69" ht="24" customHeight="1" x14ac:dyDescent="0.2">
      <c r="C78" s="470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330"/>
      <c r="Q78" s="231"/>
      <c r="R78" s="232"/>
      <c r="S78" s="232"/>
      <c r="T78" s="232"/>
      <c r="U78" s="233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1"/>
      <c r="AX78" s="1"/>
      <c r="AY78" s="1"/>
      <c r="AZ78" s="90"/>
      <c r="BA78" s="90"/>
      <c r="BB78" s="90"/>
      <c r="BC78" s="90"/>
      <c r="BD78" s="90"/>
    </row>
    <row r="79" spans="3:69" ht="24" customHeight="1" x14ac:dyDescent="0.2">
      <c r="C79" s="470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330"/>
      <c r="Q79" s="231"/>
      <c r="R79" s="232"/>
      <c r="S79" s="232"/>
      <c r="T79" s="232"/>
      <c r="U79" s="233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1"/>
      <c r="AX79" s="1"/>
      <c r="AY79" s="1"/>
      <c r="AZ79" s="90"/>
      <c r="BA79" s="90"/>
      <c r="BB79" s="90"/>
      <c r="BC79" s="90"/>
      <c r="BD79" s="90"/>
    </row>
    <row r="80" spans="3:69" ht="24" customHeight="1" x14ac:dyDescent="0.2">
      <c r="C80" s="470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330"/>
      <c r="Q80" s="231"/>
      <c r="R80" s="232"/>
      <c r="S80" s="232"/>
      <c r="T80" s="232"/>
      <c r="U80" s="233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1"/>
      <c r="AX80" s="1"/>
      <c r="AY80" s="1"/>
      <c r="AZ80" s="90"/>
      <c r="BA80" s="90"/>
      <c r="BB80" s="90"/>
      <c r="BC80" s="90"/>
      <c r="BD80" s="90"/>
    </row>
    <row r="81" spans="3:60" ht="24" customHeight="1" x14ac:dyDescent="0.2">
      <c r="C81" s="470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330"/>
      <c r="Q81" s="231"/>
      <c r="R81" s="232"/>
      <c r="S81" s="232"/>
      <c r="T81" s="232"/>
      <c r="U81" s="233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1"/>
      <c r="AX81" s="1"/>
      <c r="AY81" s="1"/>
      <c r="AZ81" s="90"/>
      <c r="BA81" s="90"/>
      <c r="BB81" s="90"/>
      <c r="BC81" s="90"/>
      <c r="BD81" s="90"/>
    </row>
    <row r="82" spans="3:60" ht="24" customHeight="1" x14ac:dyDescent="0.2">
      <c r="C82" s="470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330"/>
      <c r="Q82" s="231"/>
      <c r="R82" s="232"/>
      <c r="S82" s="232"/>
      <c r="T82" s="232"/>
      <c r="U82" s="233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1"/>
      <c r="AX82" s="1"/>
      <c r="AY82" s="1"/>
      <c r="AZ82" s="90"/>
      <c r="BA82" s="90"/>
      <c r="BB82" s="90"/>
      <c r="BC82" s="90"/>
      <c r="BD82" s="90"/>
    </row>
    <row r="83" spans="3:60" ht="24" customHeight="1" x14ac:dyDescent="0.2">
      <c r="C83" s="470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330"/>
      <c r="Q83" s="231"/>
      <c r="R83" s="232"/>
      <c r="S83" s="232"/>
      <c r="T83" s="232"/>
      <c r="U83" s="233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1"/>
      <c r="AX83" s="1"/>
      <c r="AY83" s="1"/>
      <c r="AZ83" s="90"/>
      <c r="BA83" s="90"/>
      <c r="BB83" s="90"/>
      <c r="BC83" s="90"/>
      <c r="BD83" s="90"/>
    </row>
    <row r="84" spans="3:60" ht="24" customHeight="1" x14ac:dyDescent="0.2">
      <c r="C84" s="470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330"/>
      <c r="Q84" s="231"/>
      <c r="R84" s="232"/>
      <c r="S84" s="232"/>
      <c r="T84" s="232"/>
      <c r="U84" s="233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1"/>
      <c r="AX84" s="1"/>
      <c r="AY84" s="1"/>
      <c r="AZ84" s="90"/>
      <c r="BA84" s="90"/>
      <c r="BB84" s="90"/>
      <c r="BC84" s="90"/>
      <c r="BD84" s="90"/>
    </row>
    <row r="85" spans="3:60" ht="24" customHeight="1" x14ac:dyDescent="0.2">
      <c r="C85" s="470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330"/>
      <c r="Q85" s="231"/>
      <c r="R85" s="232"/>
      <c r="S85" s="232"/>
      <c r="T85" s="232"/>
      <c r="U85" s="233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1"/>
      <c r="AX85" s="1"/>
      <c r="AY85" s="1"/>
      <c r="AZ85" s="90"/>
      <c r="BA85" s="90"/>
      <c r="BB85" s="90"/>
      <c r="BC85" s="90"/>
      <c r="BD85" s="90"/>
    </row>
    <row r="86" spans="3:60" ht="24" customHeight="1" x14ac:dyDescent="0.2">
      <c r="C86" s="470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330"/>
      <c r="Q86" s="231"/>
      <c r="R86" s="232"/>
      <c r="S86" s="232"/>
      <c r="T86" s="232"/>
      <c r="U86" s="233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1"/>
      <c r="AX86" s="1"/>
      <c r="AY86" s="1"/>
      <c r="AZ86" s="90"/>
      <c r="BA86" s="90"/>
      <c r="BB86" s="90"/>
      <c r="BC86" s="90"/>
      <c r="BD86" s="90"/>
    </row>
    <row r="87" spans="3:60" ht="24" customHeight="1" thickBot="1" x14ac:dyDescent="0.25">
      <c r="C87" s="471"/>
      <c r="D87" s="472"/>
      <c r="E87" s="472"/>
      <c r="F87" s="472"/>
      <c r="G87" s="472"/>
      <c r="H87" s="472"/>
      <c r="I87" s="472"/>
      <c r="J87" s="472"/>
      <c r="K87" s="472"/>
      <c r="L87" s="472"/>
      <c r="M87" s="472"/>
      <c r="N87" s="472"/>
      <c r="O87" s="472"/>
      <c r="P87" s="473"/>
      <c r="Q87" s="474"/>
      <c r="R87" s="472"/>
      <c r="S87" s="472"/>
      <c r="T87" s="472"/>
      <c r="U87" s="475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1"/>
      <c r="AX87" s="1"/>
      <c r="AY87" s="1"/>
      <c r="AZ87" s="90"/>
      <c r="BA87" s="90"/>
      <c r="BB87" s="90"/>
      <c r="BC87" s="90"/>
      <c r="BD87" s="90"/>
    </row>
    <row r="88" spans="3:60" ht="20.100000000000001" customHeight="1" x14ac:dyDescent="0.2">
      <c r="C88" s="1" t="s">
        <v>54</v>
      </c>
      <c r="D88" s="15"/>
      <c r="E88" s="15"/>
      <c r="F88" s="15"/>
      <c r="G88" s="15"/>
      <c r="H88" s="15"/>
      <c r="I88" s="15"/>
      <c r="J88" s="15"/>
      <c r="K88" s="92"/>
      <c r="L88" s="92"/>
      <c r="M88" s="92"/>
      <c r="N88" s="92"/>
      <c r="O88" s="92"/>
      <c r="P88" s="15"/>
      <c r="Q88" s="15"/>
      <c r="R88" s="15"/>
      <c r="S88" s="15"/>
      <c r="T88" s="1"/>
      <c r="U88" s="1"/>
      <c r="V88" s="1"/>
      <c r="W88" s="1"/>
      <c r="X88" s="1"/>
      <c r="Y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1"/>
      <c r="AX88" s="1"/>
      <c r="AY88" s="1"/>
      <c r="AZ88" s="90"/>
      <c r="BA88" s="90"/>
      <c r="BB88" s="90"/>
      <c r="BC88" s="90"/>
      <c r="BD88" s="90"/>
    </row>
    <row r="89" spans="3:60" ht="20.100000000000001" customHeight="1" x14ac:dyDescent="0.2">
      <c r="C89" s="1" t="s">
        <v>57</v>
      </c>
      <c r="D89" s="16"/>
      <c r="E89" s="16"/>
      <c r="F89" s="16"/>
      <c r="G89" s="16"/>
      <c r="H89" s="16"/>
      <c r="I89" s="16"/>
      <c r="J89" s="15"/>
      <c r="K89" s="15"/>
      <c r="L89" s="15"/>
      <c r="M89" s="15"/>
      <c r="N89" s="15"/>
      <c r="O89" s="15"/>
      <c r="P89" s="15"/>
      <c r="Q89" s="15"/>
      <c r="R89" s="15"/>
      <c r="S89" s="92"/>
      <c r="T89" s="90"/>
      <c r="U89" s="90"/>
      <c r="V89" s="90"/>
      <c r="W89" s="90"/>
      <c r="X89" s="1"/>
      <c r="Y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1"/>
      <c r="AX89" s="1"/>
      <c r="AY89" s="1"/>
      <c r="AZ89" s="90"/>
      <c r="BA89" s="90"/>
      <c r="BB89" s="90"/>
      <c r="BC89" s="90"/>
      <c r="BD89" s="90"/>
    </row>
    <row r="90" spans="3:60" ht="20.100000000000001" customHeight="1" x14ac:dyDescent="0.2">
      <c r="C90" s="1" t="s">
        <v>59</v>
      </c>
      <c r="D90" s="16"/>
      <c r="E90" s="16"/>
      <c r="F90" s="16"/>
      <c r="G90" s="16"/>
      <c r="H90" s="16"/>
      <c r="I90" s="16"/>
      <c r="J90" s="15"/>
      <c r="K90" s="15"/>
      <c r="L90" s="15"/>
      <c r="M90" s="15"/>
      <c r="N90" s="15"/>
      <c r="O90" s="15"/>
      <c r="P90" s="15"/>
      <c r="Q90" s="15"/>
      <c r="R90" s="15"/>
      <c r="S90" s="92"/>
      <c r="T90" s="90"/>
      <c r="U90" s="90"/>
      <c r="V90" s="90"/>
      <c r="W90" s="90"/>
      <c r="AA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1"/>
      <c r="AX90" s="1"/>
      <c r="AY90" s="1"/>
      <c r="AZ90" s="90"/>
      <c r="BA90" s="90"/>
      <c r="BB90" s="90"/>
      <c r="BC90" s="90"/>
      <c r="BD90" s="90"/>
    </row>
    <row r="91" spans="3:60" ht="19.5" customHeight="1" x14ac:dyDescent="0.2">
      <c r="C91" s="1" t="s">
        <v>58</v>
      </c>
      <c r="D91" s="16"/>
      <c r="E91" s="16"/>
      <c r="F91" s="16"/>
      <c r="G91" s="16"/>
      <c r="H91" s="16"/>
      <c r="I91" s="16"/>
      <c r="J91" s="15"/>
      <c r="K91" s="15"/>
      <c r="L91" s="15"/>
      <c r="M91" s="15"/>
      <c r="N91" s="15"/>
      <c r="O91" s="15"/>
      <c r="P91" s="15"/>
      <c r="Q91" s="15"/>
      <c r="R91" s="15"/>
      <c r="S91" s="92"/>
      <c r="T91" s="90"/>
      <c r="U91" s="90"/>
      <c r="V91" s="90"/>
      <c r="W91" s="90"/>
      <c r="AA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1"/>
      <c r="AX91" s="1"/>
      <c r="AY91" s="1"/>
      <c r="AZ91" s="90"/>
      <c r="BA91" s="90"/>
      <c r="BB91" s="90"/>
      <c r="BC91" s="90"/>
      <c r="BD91" s="90"/>
    </row>
    <row r="92" spans="3:60" ht="20.100000000000001" customHeight="1" x14ac:dyDescent="0.2">
      <c r="C92" s="1"/>
      <c r="J92" s="1"/>
      <c r="K92" s="1"/>
      <c r="L92" s="1"/>
      <c r="M92" s="1"/>
      <c r="N92" s="1"/>
      <c r="O92" s="1"/>
      <c r="P92" s="1"/>
      <c r="Q92" s="1"/>
      <c r="R92" s="1"/>
      <c r="S92" s="90"/>
      <c r="T92" s="90"/>
      <c r="U92" s="90"/>
      <c r="V92" s="90"/>
      <c r="W92" s="90"/>
      <c r="AA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1"/>
      <c r="AX92" s="1"/>
      <c r="AY92" s="1"/>
      <c r="AZ92" s="90"/>
      <c r="BA92" s="90"/>
      <c r="BB92" s="90"/>
      <c r="BC92" s="90"/>
      <c r="BD92" s="90"/>
    </row>
    <row r="93" spans="3:60" ht="20.100000000000001" customHeight="1" x14ac:dyDescent="0.2">
      <c r="C93" s="1"/>
      <c r="J93" s="1"/>
      <c r="K93" s="1"/>
      <c r="L93" s="1"/>
      <c r="M93" s="1"/>
      <c r="N93" s="1"/>
      <c r="O93" s="1"/>
      <c r="P93" s="1"/>
      <c r="Q93" s="1"/>
      <c r="R93" s="1"/>
      <c r="S93" s="90"/>
      <c r="T93" s="90"/>
      <c r="U93" s="90"/>
      <c r="V93" s="90"/>
      <c r="W93" s="90"/>
      <c r="AA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1"/>
      <c r="AX93" s="1"/>
      <c r="AY93" s="1"/>
      <c r="AZ93" s="90"/>
      <c r="BA93" s="90"/>
      <c r="BB93" s="90"/>
      <c r="BC93" s="90"/>
      <c r="BD93" s="90"/>
    </row>
    <row r="94" spans="3:60" ht="20.100000000000001" customHeight="1" x14ac:dyDescent="0.2">
      <c r="C94" s="1"/>
      <c r="J94" s="1"/>
      <c r="K94" s="1"/>
      <c r="L94" s="1"/>
      <c r="M94" s="1"/>
      <c r="N94" s="1"/>
      <c r="O94" s="1"/>
      <c r="P94" s="1"/>
      <c r="Q94" s="1"/>
      <c r="R94" s="1"/>
      <c r="S94" s="90"/>
      <c r="T94" s="90"/>
      <c r="U94" s="90"/>
      <c r="V94" s="90"/>
      <c r="W94" s="90"/>
      <c r="X94" s="1"/>
      <c r="Y94" s="1"/>
      <c r="AF94" s="90"/>
      <c r="AL94" s="1"/>
      <c r="AM94" s="1"/>
      <c r="AN94" s="1"/>
      <c r="AO94" s="1"/>
      <c r="AP94" s="1"/>
      <c r="AQ94" s="90"/>
      <c r="AR94" s="90"/>
      <c r="AS94" s="90"/>
      <c r="AT94" s="90"/>
      <c r="AU94" s="90"/>
      <c r="AV94" s="90"/>
      <c r="AW94" s="1"/>
      <c r="AX94" s="1"/>
      <c r="AY94" s="1"/>
      <c r="AZ94" s="1"/>
      <c r="BA94" s="1"/>
      <c r="BB94" s="1"/>
      <c r="BC94" s="1"/>
      <c r="BD94" s="1"/>
    </row>
    <row r="95" spans="3:60" ht="20.100000000000001" customHeight="1" x14ac:dyDescent="0.2">
      <c r="C95" s="1"/>
      <c r="J95" s="1"/>
      <c r="K95" s="1"/>
      <c r="L95" s="1"/>
      <c r="M95" s="1"/>
      <c r="N95" s="1"/>
      <c r="O95" s="1"/>
      <c r="P95" s="1"/>
      <c r="Q95" s="1"/>
      <c r="R95" s="1"/>
      <c r="S95" s="90"/>
      <c r="T95" s="90"/>
      <c r="U95" s="90"/>
      <c r="V95" s="90"/>
      <c r="W95" s="90"/>
      <c r="X95" s="90"/>
      <c r="Y95" s="90"/>
      <c r="AF95" s="90"/>
      <c r="AG95" s="90"/>
      <c r="AH95" s="90"/>
      <c r="AL95" s="1"/>
      <c r="AM95" s="15"/>
      <c r="AN95" s="15"/>
      <c r="AO95" s="15"/>
      <c r="AP95" s="15"/>
      <c r="AQ95" s="15"/>
      <c r="AR95" s="15"/>
      <c r="AS95" s="15"/>
      <c r="AT95" s="92"/>
      <c r="AU95" s="92"/>
      <c r="AV95" s="92"/>
      <c r="AW95" s="92"/>
      <c r="AX95" s="92"/>
      <c r="AY95" s="15"/>
      <c r="AZ95" s="15"/>
      <c r="BA95" s="15"/>
      <c r="BB95" s="15"/>
      <c r="BC95" s="1"/>
      <c r="BD95" s="1"/>
      <c r="BE95" s="1"/>
      <c r="BF95" s="1"/>
      <c r="BG95" s="1"/>
      <c r="BH95" s="90"/>
    </row>
    <row r="96" spans="3:60" x14ac:dyDescent="0.2">
      <c r="AL96" s="1"/>
      <c r="AM96" s="16"/>
      <c r="AN96" s="16"/>
      <c r="AO96" s="16"/>
      <c r="AP96" s="16"/>
      <c r="AQ96" s="16"/>
      <c r="AR96" s="16"/>
      <c r="AS96" s="15"/>
      <c r="AT96" s="15"/>
      <c r="AU96" s="15"/>
      <c r="AV96" s="15"/>
      <c r="AW96" s="15"/>
      <c r="AX96" s="15"/>
      <c r="AY96" s="15"/>
      <c r="AZ96" s="15"/>
      <c r="BA96" s="15"/>
      <c r="BB96" s="92"/>
      <c r="BC96" s="90"/>
      <c r="BD96" s="90"/>
      <c r="BE96" s="90"/>
      <c r="BF96" s="90"/>
      <c r="BG96" s="1"/>
      <c r="BH96" s="90"/>
    </row>
    <row r="97" spans="38:62" x14ac:dyDescent="0.2">
      <c r="AL97" s="1"/>
      <c r="AM97" s="16"/>
      <c r="AN97" s="16"/>
      <c r="AO97" s="16"/>
      <c r="AP97" s="16"/>
      <c r="AQ97" s="16"/>
      <c r="AR97" s="16"/>
      <c r="AS97" s="15"/>
      <c r="AT97" s="15"/>
      <c r="AU97" s="15"/>
      <c r="AV97" s="15"/>
      <c r="AW97" s="15"/>
      <c r="AX97" s="15"/>
      <c r="AY97" s="15"/>
      <c r="AZ97" s="15"/>
      <c r="BA97" s="15"/>
      <c r="BB97" s="92"/>
      <c r="BC97" s="90"/>
      <c r="BD97" s="90"/>
      <c r="BE97" s="90"/>
      <c r="BF97" s="90"/>
      <c r="BJ97" s="90"/>
    </row>
    <row r="98" spans="38:62" x14ac:dyDescent="0.2">
      <c r="AL98" s="1"/>
      <c r="AM98" s="16"/>
      <c r="AN98" s="16"/>
      <c r="AO98" s="16"/>
      <c r="AP98" s="16"/>
      <c r="AQ98" s="16"/>
      <c r="AR98" s="16"/>
      <c r="AS98" s="15"/>
      <c r="AT98" s="15"/>
      <c r="AU98" s="15"/>
      <c r="AV98" s="15"/>
      <c r="AW98" s="15"/>
      <c r="AX98" s="15"/>
      <c r="AY98" s="15"/>
      <c r="AZ98" s="15"/>
      <c r="BA98" s="15"/>
      <c r="BB98" s="92"/>
      <c r="BC98" s="90"/>
      <c r="BD98" s="90"/>
      <c r="BE98" s="90"/>
      <c r="BF98" s="90"/>
      <c r="BJ98" s="90"/>
    </row>
  </sheetData>
  <mergeCells count="405">
    <mergeCell ref="H40:I40"/>
    <mergeCell ref="C86:P86"/>
    <mergeCell ref="C87:P87"/>
    <mergeCell ref="Q68:U68"/>
    <mergeCell ref="Q69:U69"/>
    <mergeCell ref="Q70:U70"/>
    <mergeCell ref="Q71:U71"/>
    <mergeCell ref="Q72:U72"/>
    <mergeCell ref="Q73:U73"/>
    <mergeCell ref="Q74:U74"/>
    <mergeCell ref="Q75:U75"/>
    <mergeCell ref="Q76:U76"/>
    <mergeCell ref="Q77:U77"/>
    <mergeCell ref="Q78:U78"/>
    <mergeCell ref="Q79:U79"/>
    <mergeCell ref="Q80:U80"/>
    <mergeCell ref="Q81:U81"/>
    <mergeCell ref="Q82:U82"/>
    <mergeCell ref="Q83:U83"/>
    <mergeCell ref="Q84:U84"/>
    <mergeCell ref="Q85:U85"/>
    <mergeCell ref="Q86:U86"/>
    <mergeCell ref="Q87:U87"/>
    <mergeCell ref="C77:P77"/>
    <mergeCell ref="C78:P78"/>
    <mergeCell ref="C79:P79"/>
    <mergeCell ref="C80:P80"/>
    <mergeCell ref="C81:P81"/>
    <mergeCell ref="C82:P82"/>
    <mergeCell ref="C83:P83"/>
    <mergeCell ref="C84:P84"/>
    <mergeCell ref="C85:P85"/>
    <mergeCell ref="C68:P68"/>
    <mergeCell ref="C69:P69"/>
    <mergeCell ref="C70:P70"/>
    <mergeCell ref="C71:P71"/>
    <mergeCell ref="C72:P72"/>
    <mergeCell ref="C73:P73"/>
    <mergeCell ref="C74:P74"/>
    <mergeCell ref="C75:P75"/>
    <mergeCell ref="C76:P76"/>
    <mergeCell ref="N62:O62"/>
    <mergeCell ref="N63:O63"/>
    <mergeCell ref="P60:Q60"/>
    <mergeCell ref="P61:Q61"/>
    <mergeCell ref="P62:Q62"/>
    <mergeCell ref="P63:Q63"/>
    <mergeCell ref="S60:T60"/>
    <mergeCell ref="S61:T61"/>
    <mergeCell ref="S62:T62"/>
    <mergeCell ref="S63:T63"/>
    <mergeCell ref="C62:F62"/>
    <mergeCell ref="C63:F63"/>
    <mergeCell ref="I61:J61"/>
    <mergeCell ref="I62:J62"/>
    <mergeCell ref="I63:J63"/>
    <mergeCell ref="K60:L60"/>
    <mergeCell ref="K61:L61"/>
    <mergeCell ref="K62:L62"/>
    <mergeCell ref="K63:L63"/>
    <mergeCell ref="AG37:AH37"/>
    <mergeCell ref="AG38:AH38"/>
    <mergeCell ref="AG39:AH39"/>
    <mergeCell ref="AG40:AH40"/>
    <mergeCell ref="AG41:AH41"/>
    <mergeCell ref="AG42:AH42"/>
    <mergeCell ref="AG43:AH43"/>
    <mergeCell ref="C50:R53"/>
    <mergeCell ref="C61:F61"/>
    <mergeCell ref="N60:O60"/>
    <mergeCell ref="N61:O61"/>
    <mergeCell ref="AC37:AD37"/>
    <mergeCell ref="AC38:AD38"/>
    <mergeCell ref="AC39:AD39"/>
    <mergeCell ref="AC40:AD40"/>
    <mergeCell ref="AC41:AD41"/>
    <mergeCell ref="AC42:AD42"/>
    <mergeCell ref="AC43:AD43"/>
    <mergeCell ref="AE37:AF37"/>
    <mergeCell ref="AE38:AF38"/>
    <mergeCell ref="AE39:AF39"/>
    <mergeCell ref="AE40:AF40"/>
    <mergeCell ref="AE41:AF41"/>
    <mergeCell ref="AE42:AF42"/>
    <mergeCell ref="AE43:AF43"/>
    <mergeCell ref="Y37:Z37"/>
    <mergeCell ref="Y38:Z38"/>
    <mergeCell ref="Y39:Z39"/>
    <mergeCell ref="Y40:Z40"/>
    <mergeCell ref="Y41:Z41"/>
    <mergeCell ref="Y42:Z42"/>
    <mergeCell ref="AA37:AB37"/>
    <mergeCell ref="AA38:AB38"/>
    <mergeCell ref="AA39:AB39"/>
    <mergeCell ref="AA40:AB40"/>
    <mergeCell ref="AA41:AB41"/>
    <mergeCell ref="AA42:AB42"/>
    <mergeCell ref="S37:V37"/>
    <mergeCell ref="S38:V38"/>
    <mergeCell ref="S39:V39"/>
    <mergeCell ref="S40:V40"/>
    <mergeCell ref="S41:V41"/>
    <mergeCell ref="S42:V42"/>
    <mergeCell ref="W37:X37"/>
    <mergeCell ref="W38:X38"/>
    <mergeCell ref="W39:X39"/>
    <mergeCell ref="W40:X40"/>
    <mergeCell ref="W41:X41"/>
    <mergeCell ref="W42:X42"/>
    <mergeCell ref="Y26:AB26"/>
    <mergeCell ref="Y27:AB27"/>
    <mergeCell ref="Y28:AB28"/>
    <mergeCell ref="Y29:AB29"/>
    <mergeCell ref="F37:G37"/>
    <mergeCell ref="F38:G38"/>
    <mergeCell ref="F39:G39"/>
    <mergeCell ref="F40:G40"/>
    <mergeCell ref="F41:G41"/>
    <mergeCell ref="H37:I37"/>
    <mergeCell ref="H38:I38"/>
    <mergeCell ref="H39:I39"/>
    <mergeCell ref="H41:I41"/>
    <mergeCell ref="K37:N37"/>
    <mergeCell ref="K38:N38"/>
    <mergeCell ref="K39:N39"/>
    <mergeCell ref="K40:N40"/>
    <mergeCell ref="K41:N41"/>
    <mergeCell ref="O37:R37"/>
    <mergeCell ref="O38:R38"/>
    <mergeCell ref="O39:R39"/>
    <mergeCell ref="O40:R40"/>
    <mergeCell ref="O41:R41"/>
    <mergeCell ref="Q28:R28"/>
    <mergeCell ref="Q29:R29"/>
    <mergeCell ref="S27:T27"/>
    <mergeCell ref="S28:T28"/>
    <mergeCell ref="S29:T29"/>
    <mergeCell ref="U27:V27"/>
    <mergeCell ref="U28:V28"/>
    <mergeCell ref="U29:V29"/>
    <mergeCell ref="W27:X27"/>
    <mergeCell ref="W28:X28"/>
    <mergeCell ref="W29:X29"/>
    <mergeCell ref="I20:L20"/>
    <mergeCell ref="M20:P20"/>
    <mergeCell ref="C67:P67"/>
    <mergeCell ref="C57:F59"/>
    <mergeCell ref="G57:G59"/>
    <mergeCell ref="AE57:AF57"/>
    <mergeCell ref="K58:L59"/>
    <mergeCell ref="M58:M59"/>
    <mergeCell ref="N58:O59"/>
    <mergeCell ref="P58:Q59"/>
    <mergeCell ref="R58:R59"/>
    <mergeCell ref="S58:T59"/>
    <mergeCell ref="U58:X59"/>
    <mergeCell ref="Y58:Z58"/>
    <mergeCell ref="AA58:AB58"/>
    <mergeCell ref="AE58:AF58"/>
    <mergeCell ref="Y59:Z59"/>
    <mergeCell ref="AA59:AB59"/>
    <mergeCell ref="Q67:U67"/>
    <mergeCell ref="C60:F60"/>
    <mergeCell ref="I60:J60"/>
    <mergeCell ref="H57:H59"/>
    <mergeCell ref="I57:J59"/>
    <mergeCell ref="K57:O57"/>
    <mergeCell ref="Q7:X7"/>
    <mergeCell ref="Q5:AA5"/>
    <mergeCell ref="S17:AH17"/>
    <mergeCell ref="I19:L19"/>
    <mergeCell ref="D7:I7"/>
    <mergeCell ref="D8:I8"/>
    <mergeCell ref="P15:R16"/>
    <mergeCell ref="C15:O15"/>
    <mergeCell ref="C16:O16"/>
    <mergeCell ref="S15:AE15"/>
    <mergeCell ref="AF15:AH16"/>
    <mergeCell ref="S16:AE16"/>
    <mergeCell ref="C18:AH18"/>
    <mergeCell ref="C14:R14"/>
    <mergeCell ref="S14:AH14"/>
    <mergeCell ref="W19:Z19"/>
    <mergeCell ref="AA19:AD19"/>
    <mergeCell ref="C12:AH12"/>
    <mergeCell ref="C13:AH13"/>
    <mergeCell ref="C17:R17"/>
    <mergeCell ref="AG19:AH21"/>
    <mergeCell ref="Q20:V20"/>
    <mergeCell ref="Q19:V19"/>
    <mergeCell ref="M19:P19"/>
    <mergeCell ref="F34:I34"/>
    <mergeCell ref="J34:J36"/>
    <mergeCell ref="AG1:AH1"/>
    <mergeCell ref="D9:H9"/>
    <mergeCell ref="C10:AH10"/>
    <mergeCell ref="C3:AH3"/>
    <mergeCell ref="C11:AH11"/>
    <mergeCell ref="D5:I5"/>
    <mergeCell ref="D6:I6"/>
    <mergeCell ref="L5:L8"/>
    <mergeCell ref="M8:P8"/>
    <mergeCell ref="M7:P7"/>
    <mergeCell ref="M6:P6"/>
    <mergeCell ref="M5:P5"/>
    <mergeCell ref="AB6:AH6"/>
    <mergeCell ref="AB7:AH7"/>
    <mergeCell ref="AB5:AC5"/>
    <mergeCell ref="AD5:AH5"/>
    <mergeCell ref="Y8:AA8"/>
    <mergeCell ref="Q8:X8"/>
    <mergeCell ref="AB8:AH8"/>
    <mergeCell ref="Y6:AA6"/>
    <mergeCell ref="Y7:AA7"/>
    <mergeCell ref="Q6:X6"/>
    <mergeCell ref="Q25:R26"/>
    <mergeCell ref="S25:T26"/>
    <mergeCell ref="K34:N36"/>
    <mergeCell ref="O34:R36"/>
    <mergeCell ref="S34:V36"/>
    <mergeCell ref="W34:Z34"/>
    <mergeCell ref="S33:AH33"/>
    <mergeCell ref="AF28:AH28"/>
    <mergeCell ref="AF29:AH29"/>
    <mergeCell ref="AE35:AH35"/>
    <mergeCell ref="AC36:AD36"/>
    <mergeCell ref="AA36:AB36"/>
    <mergeCell ref="AE36:AF36"/>
    <mergeCell ref="AG36:AH36"/>
    <mergeCell ref="J27:K27"/>
    <mergeCell ref="J28:K28"/>
    <mergeCell ref="J29:K29"/>
    <mergeCell ref="L27:M27"/>
    <mergeCell ref="L28:M28"/>
    <mergeCell ref="L29:M29"/>
    <mergeCell ref="N27:P27"/>
    <mergeCell ref="N28:P28"/>
    <mergeCell ref="N29:P29"/>
    <mergeCell ref="Q27:R27"/>
    <mergeCell ref="I21:L21"/>
    <mergeCell ref="M21:P21"/>
    <mergeCell ref="W21:Z21"/>
    <mergeCell ref="AA21:AD21"/>
    <mergeCell ref="C20:H20"/>
    <mergeCell ref="D21:H21"/>
    <mergeCell ref="W20:Z20"/>
    <mergeCell ref="Q24:T24"/>
    <mergeCell ref="C37:E38"/>
    <mergeCell ref="C22:AH22"/>
    <mergeCell ref="AC26:AE26"/>
    <mergeCell ref="AC25:AE25"/>
    <mergeCell ref="AF25:AH25"/>
    <mergeCell ref="AF26:AH26"/>
    <mergeCell ref="Y23:AH24"/>
    <mergeCell ref="U25:V26"/>
    <mergeCell ref="W25:X26"/>
    <mergeCell ref="N24:P26"/>
    <mergeCell ref="U24:X24"/>
    <mergeCell ref="C24:E26"/>
    <mergeCell ref="F25:G26"/>
    <mergeCell ref="H25:I26"/>
    <mergeCell ref="J25:K26"/>
    <mergeCell ref="L25:M26"/>
    <mergeCell ref="C39:E40"/>
    <mergeCell ref="AC27:AE27"/>
    <mergeCell ref="AC28:AE28"/>
    <mergeCell ref="C44:R44"/>
    <mergeCell ref="S44:AH44"/>
    <mergeCell ref="AA20:AD20"/>
    <mergeCell ref="AF27:AH27"/>
    <mergeCell ref="C32:AH32"/>
    <mergeCell ref="AE19:AF21"/>
    <mergeCell ref="R21:V21"/>
    <mergeCell ref="AC29:AE29"/>
    <mergeCell ref="C33:R33"/>
    <mergeCell ref="AA34:AH34"/>
    <mergeCell ref="Y25:AB25"/>
    <mergeCell ref="C23:X23"/>
    <mergeCell ref="F24:I24"/>
    <mergeCell ref="J24:M24"/>
    <mergeCell ref="F35:G36"/>
    <mergeCell ref="H35:I36"/>
    <mergeCell ref="W35:X36"/>
    <mergeCell ref="Y35:Z36"/>
    <mergeCell ref="AA35:AD35"/>
    <mergeCell ref="C34:E36"/>
    <mergeCell ref="S43:Z43"/>
    <mergeCell ref="C56:T56"/>
    <mergeCell ref="C43:J43"/>
    <mergeCell ref="C55:AH55"/>
    <mergeCell ref="U56:AH56"/>
    <mergeCell ref="S50:AH53"/>
    <mergeCell ref="C41:E42"/>
    <mergeCell ref="AL74:AY74"/>
    <mergeCell ref="AZ74:BD74"/>
    <mergeCell ref="Y57:Z57"/>
    <mergeCell ref="AA57:AB57"/>
    <mergeCell ref="C45:R48"/>
    <mergeCell ref="C49:R49"/>
    <mergeCell ref="S49:AH49"/>
    <mergeCell ref="S45:AH48"/>
    <mergeCell ref="AE59:AF59"/>
    <mergeCell ref="P57:T57"/>
    <mergeCell ref="U57:X57"/>
    <mergeCell ref="F42:G42"/>
    <mergeCell ref="H42:I42"/>
    <mergeCell ref="K42:N42"/>
    <mergeCell ref="K43:N43"/>
    <mergeCell ref="O42:R42"/>
    <mergeCell ref="O43:R43"/>
    <mergeCell ref="AA43:AB43"/>
    <mergeCell ref="AM6:BR6"/>
    <mergeCell ref="AN8:AS8"/>
    <mergeCell ref="AV8:AV11"/>
    <mergeCell ref="AW8:AZ8"/>
    <mergeCell ref="BA8:BK8"/>
    <mergeCell ref="BL8:BM8"/>
    <mergeCell ref="BN8:BR8"/>
    <mergeCell ref="AN9:AS9"/>
    <mergeCell ref="AW9:AZ9"/>
    <mergeCell ref="BA9:BH9"/>
    <mergeCell ref="BI9:BK9"/>
    <mergeCell ref="BL9:BR9"/>
    <mergeCell ref="AN10:AS10"/>
    <mergeCell ref="AW10:AZ10"/>
    <mergeCell ref="BA10:BH10"/>
    <mergeCell ref="BI10:BK10"/>
    <mergeCell ref="BL10:BR10"/>
    <mergeCell ref="AN11:AS11"/>
    <mergeCell ref="AW11:AZ11"/>
    <mergeCell ref="BA11:BH11"/>
    <mergeCell ref="BI11:BK11"/>
    <mergeCell ref="BL11:BR11"/>
    <mergeCell ref="BG24:BJ24"/>
    <mergeCell ref="BK24:BN24"/>
    <mergeCell ref="AN12:AR12"/>
    <mergeCell ref="AM13:BR13"/>
    <mergeCell ref="AM14:BR14"/>
    <mergeCell ref="AM15:BR15"/>
    <mergeCell ref="AM16:BR16"/>
    <mergeCell ref="AM17:BB17"/>
    <mergeCell ref="BC17:BR17"/>
    <mergeCell ref="AM18:AY18"/>
    <mergeCell ref="AZ18:BB19"/>
    <mergeCell ref="BC18:BO18"/>
    <mergeCell ref="BP18:BR19"/>
    <mergeCell ref="AM19:AY19"/>
    <mergeCell ref="BC19:BO19"/>
    <mergeCell ref="BM28:BO28"/>
    <mergeCell ref="BP28:BR28"/>
    <mergeCell ref="BM29:BO29"/>
    <mergeCell ref="BP29:BR29"/>
    <mergeCell ref="AM20:BB20"/>
    <mergeCell ref="BC20:BR20"/>
    <mergeCell ref="AM21:BR21"/>
    <mergeCell ref="AS22:AV22"/>
    <mergeCell ref="AW22:AZ22"/>
    <mergeCell ref="BA22:BF22"/>
    <mergeCell ref="BG22:BJ22"/>
    <mergeCell ref="BK22:BN22"/>
    <mergeCell ref="BO22:BP24"/>
    <mergeCell ref="BQ22:BR24"/>
    <mergeCell ref="AM23:AR23"/>
    <mergeCell ref="AS23:AV23"/>
    <mergeCell ref="AW23:AZ23"/>
    <mergeCell ref="BA23:BF23"/>
    <mergeCell ref="BG23:BJ23"/>
    <mergeCell ref="BK23:BN23"/>
    <mergeCell ref="AN24:AR24"/>
    <mergeCell ref="AS24:AV24"/>
    <mergeCell ref="AW24:AZ24"/>
    <mergeCell ref="BB24:BF24"/>
    <mergeCell ref="BM30:BO30"/>
    <mergeCell ref="BP30:BR30"/>
    <mergeCell ref="BM31:BO31"/>
    <mergeCell ref="BP31:BR31"/>
    <mergeCell ref="BM32:BO32"/>
    <mergeCell ref="BP32:BR32"/>
    <mergeCell ref="AM25:BR25"/>
    <mergeCell ref="AM26:BH26"/>
    <mergeCell ref="BI26:BR27"/>
    <mergeCell ref="AM27:AO29"/>
    <mergeCell ref="AP27:AS27"/>
    <mergeCell ref="AT27:AW27"/>
    <mergeCell ref="AX27:AZ29"/>
    <mergeCell ref="BA27:BD27"/>
    <mergeCell ref="BE27:BH27"/>
    <mergeCell ref="AP28:AQ29"/>
    <mergeCell ref="AR28:AS29"/>
    <mergeCell ref="AT28:AU29"/>
    <mergeCell ref="AV28:AW29"/>
    <mergeCell ref="BA28:BB29"/>
    <mergeCell ref="BC28:BD29"/>
    <mergeCell ref="BE28:BF29"/>
    <mergeCell ref="BG28:BH29"/>
    <mergeCell ref="BI28:BL28"/>
    <mergeCell ref="C27:E27"/>
    <mergeCell ref="C28:E28"/>
    <mergeCell ref="C29:E29"/>
    <mergeCell ref="F27:G27"/>
    <mergeCell ref="F28:G28"/>
    <mergeCell ref="F29:G29"/>
    <mergeCell ref="H27:I27"/>
    <mergeCell ref="H28:I28"/>
    <mergeCell ref="H29:I29"/>
  </mergeCells>
  <phoneticPr fontId="2"/>
  <pageMargins left="0.70866141732283472" right="0.59055118110236227" top="0.77" bottom="0.35433070866141736" header="0.31496062992125984" footer="0.31496062992125984"/>
  <pageSetup paperSize="9" scale="79" fitToHeight="0" orientation="landscape" r:id="rId1"/>
  <rowBreaks count="2" manualBreakCount="2">
    <brk id="30" min="1" max="34" man="1"/>
    <brk id="64" min="1" max="34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T131"/>
  <sheetViews>
    <sheetView view="pageBreakPreview" zoomScale="85" zoomScaleNormal="85" zoomScaleSheetLayoutView="85" workbookViewId="0">
      <selection activeCell="AA131" sqref="AA131"/>
    </sheetView>
  </sheetViews>
  <sheetFormatPr defaultRowHeight="12.75" x14ac:dyDescent="0.2"/>
  <cols>
    <col min="2" max="2" width="3.33203125" customWidth="1"/>
  </cols>
  <sheetData>
    <row r="1" spans="3:20" ht="13.5" x14ac:dyDescent="0.2">
      <c r="C1" s="32" t="s">
        <v>88</v>
      </c>
      <c r="D1" s="28"/>
      <c r="E1" s="28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3:20" ht="13.5" x14ac:dyDescent="0.2">
      <c r="C2" s="32"/>
      <c r="D2" s="28"/>
      <c r="E2" s="28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3:20" ht="14.25" thickBot="1" x14ac:dyDescent="0.25">
      <c r="C3" s="491" t="s">
        <v>89</v>
      </c>
      <c r="D3" s="491"/>
      <c r="E3" s="491"/>
      <c r="F3" s="491"/>
      <c r="G3" s="491"/>
      <c r="H3" s="491"/>
      <c r="I3" s="491"/>
      <c r="J3" s="21"/>
      <c r="K3" s="21"/>
      <c r="L3" s="21"/>
      <c r="M3" s="21"/>
      <c r="N3" s="21"/>
      <c r="O3" s="21"/>
      <c r="P3" s="21"/>
      <c r="Q3" s="22"/>
      <c r="R3" s="21"/>
      <c r="S3" s="22" t="s">
        <v>90</v>
      </c>
      <c r="T3" s="21"/>
    </row>
    <row r="4" spans="3:20" ht="30" customHeight="1" x14ac:dyDescent="0.2">
      <c r="C4" s="738" t="s">
        <v>164</v>
      </c>
      <c r="D4" s="739"/>
      <c r="E4" s="739"/>
      <c r="F4" s="739"/>
      <c r="G4" s="739"/>
      <c r="H4" s="740"/>
      <c r="I4" s="492" t="s">
        <v>341</v>
      </c>
      <c r="J4" s="494"/>
      <c r="K4" s="492" t="s">
        <v>342</v>
      </c>
      <c r="L4" s="494"/>
      <c r="M4" s="492" t="s">
        <v>343</v>
      </c>
      <c r="N4" s="494"/>
      <c r="O4" s="492" t="s">
        <v>344</v>
      </c>
      <c r="P4" s="494"/>
      <c r="Q4" s="492" t="s">
        <v>345</v>
      </c>
      <c r="R4" s="494"/>
      <c r="S4" s="492" t="s">
        <v>346</v>
      </c>
      <c r="T4" s="603"/>
    </row>
    <row r="5" spans="3:20" ht="13.5" x14ac:dyDescent="0.2">
      <c r="C5" s="742" t="s">
        <v>91</v>
      </c>
      <c r="D5" s="743"/>
      <c r="E5" s="763" t="s">
        <v>319</v>
      </c>
      <c r="F5" s="764"/>
      <c r="G5" s="622"/>
      <c r="H5" s="621"/>
      <c r="I5" s="750"/>
      <c r="J5" s="751"/>
      <c r="K5" s="750"/>
      <c r="L5" s="751"/>
      <c r="M5" s="750"/>
      <c r="N5" s="751"/>
      <c r="O5" s="750"/>
      <c r="P5" s="751"/>
      <c r="Q5" s="750"/>
      <c r="R5" s="751"/>
      <c r="S5" s="750"/>
      <c r="T5" s="752"/>
    </row>
    <row r="6" spans="3:20" ht="13.5" x14ac:dyDescent="0.2">
      <c r="C6" s="744"/>
      <c r="D6" s="745"/>
      <c r="E6" s="765"/>
      <c r="F6" s="766"/>
      <c r="G6" s="541"/>
      <c r="H6" s="539"/>
      <c r="I6" s="645"/>
      <c r="J6" s="646"/>
      <c r="K6" s="645"/>
      <c r="L6" s="646"/>
      <c r="M6" s="645"/>
      <c r="N6" s="646"/>
      <c r="O6" s="645"/>
      <c r="P6" s="646"/>
      <c r="Q6" s="645"/>
      <c r="R6" s="646"/>
      <c r="S6" s="645"/>
      <c r="T6" s="748"/>
    </row>
    <row r="7" spans="3:20" ht="13.5" x14ac:dyDescent="0.2">
      <c r="C7" s="744"/>
      <c r="D7" s="745"/>
      <c r="E7" s="765"/>
      <c r="F7" s="766"/>
      <c r="G7" s="476"/>
      <c r="H7" s="478"/>
      <c r="I7" s="645"/>
      <c r="J7" s="646"/>
      <c r="K7" s="759"/>
      <c r="L7" s="760"/>
      <c r="M7" s="759"/>
      <c r="N7" s="760"/>
      <c r="O7" s="759"/>
      <c r="P7" s="760"/>
      <c r="Q7" s="759"/>
      <c r="R7" s="760"/>
      <c r="S7" s="759"/>
      <c r="T7" s="767"/>
    </row>
    <row r="8" spans="3:20" ht="13.5" x14ac:dyDescent="0.2">
      <c r="C8" s="744"/>
      <c r="D8" s="745"/>
      <c r="E8" s="765"/>
      <c r="F8" s="766"/>
      <c r="G8" s="541"/>
      <c r="H8" s="539"/>
      <c r="I8" s="645"/>
      <c r="J8" s="646"/>
      <c r="K8" s="645"/>
      <c r="L8" s="646"/>
      <c r="M8" s="645"/>
      <c r="N8" s="646"/>
      <c r="O8" s="645"/>
      <c r="P8" s="646"/>
      <c r="Q8" s="645"/>
      <c r="R8" s="646"/>
      <c r="S8" s="645"/>
      <c r="T8" s="748"/>
    </row>
    <row r="9" spans="3:20" ht="13.5" x14ac:dyDescent="0.2">
      <c r="C9" s="744"/>
      <c r="D9" s="745"/>
      <c r="E9" s="765"/>
      <c r="F9" s="766"/>
      <c r="G9" s="476"/>
      <c r="H9" s="478"/>
      <c r="I9" s="645"/>
      <c r="J9" s="646"/>
      <c r="K9" s="645"/>
      <c r="L9" s="646"/>
      <c r="M9" s="645"/>
      <c r="N9" s="646"/>
      <c r="O9" s="645"/>
      <c r="P9" s="646"/>
      <c r="Q9" s="645"/>
      <c r="R9" s="646"/>
      <c r="S9" s="645"/>
      <c r="T9" s="748"/>
    </row>
    <row r="10" spans="3:20" ht="13.5" x14ac:dyDescent="0.2">
      <c r="C10" s="744"/>
      <c r="D10" s="745"/>
      <c r="E10" s="765"/>
      <c r="F10" s="766"/>
      <c r="G10" s="541" t="s">
        <v>320</v>
      </c>
      <c r="H10" s="539"/>
      <c r="I10" s="704">
        <f>動態表!E13</f>
        <v>0</v>
      </c>
      <c r="J10" s="705"/>
      <c r="K10" s="704">
        <f>動態表!F13</f>
        <v>0</v>
      </c>
      <c r="L10" s="705"/>
      <c r="M10" s="704">
        <f>動態表!G13</f>
        <v>0</v>
      </c>
      <c r="N10" s="705"/>
      <c r="O10" s="704">
        <f>動態表!H13</f>
        <v>0</v>
      </c>
      <c r="P10" s="705"/>
      <c r="Q10" s="704">
        <f>動態表!I13</f>
        <v>0</v>
      </c>
      <c r="R10" s="705"/>
      <c r="S10" s="704">
        <f>動態表!J13</f>
        <v>0</v>
      </c>
      <c r="T10" s="758"/>
    </row>
    <row r="11" spans="3:20" ht="13.5" x14ac:dyDescent="0.2">
      <c r="C11" s="744"/>
      <c r="D11" s="745"/>
      <c r="E11" s="498"/>
      <c r="F11" s="500"/>
      <c r="G11" s="757"/>
      <c r="H11" s="533"/>
      <c r="I11" s="654"/>
      <c r="J11" s="655"/>
      <c r="K11" s="654"/>
      <c r="L11" s="655"/>
      <c r="M11" s="654"/>
      <c r="N11" s="655"/>
      <c r="O11" s="654"/>
      <c r="P11" s="655"/>
      <c r="Q11" s="654"/>
      <c r="R11" s="655"/>
      <c r="S11" s="654"/>
      <c r="T11" s="749"/>
    </row>
    <row r="12" spans="3:20" ht="13.5" x14ac:dyDescent="0.2">
      <c r="C12" s="744"/>
      <c r="D12" s="745"/>
      <c r="E12" s="489" t="s">
        <v>318</v>
      </c>
      <c r="F12" s="622"/>
      <c r="G12" s="620"/>
      <c r="H12" s="621"/>
      <c r="I12" s="750">
        <f>SUM(I5:J11)</f>
        <v>0</v>
      </c>
      <c r="J12" s="751"/>
      <c r="K12" s="750">
        <f>SUM(K5:L11)</f>
        <v>0</v>
      </c>
      <c r="L12" s="751"/>
      <c r="M12" s="750">
        <f t="shared" ref="M12" si="0">SUM(M5:N11)</f>
        <v>0</v>
      </c>
      <c r="N12" s="751"/>
      <c r="O12" s="750">
        <f t="shared" ref="O12" si="1">SUM(O5:P11)</f>
        <v>0</v>
      </c>
      <c r="P12" s="751"/>
      <c r="Q12" s="750">
        <f t="shared" ref="Q12:S12" si="2">SUM(Q5:R11)</f>
        <v>0</v>
      </c>
      <c r="R12" s="751"/>
      <c r="S12" s="750">
        <f t="shared" si="2"/>
        <v>0</v>
      </c>
      <c r="T12" s="752"/>
    </row>
    <row r="13" spans="3:20" ht="13.5" x14ac:dyDescent="0.2">
      <c r="C13" s="744"/>
      <c r="D13" s="745"/>
      <c r="E13" s="753"/>
      <c r="F13" s="476"/>
      <c r="G13" s="477"/>
      <c r="H13" s="478"/>
      <c r="I13" s="755">
        <f>I12-I18-I19-I20-I21</f>
        <v>0</v>
      </c>
      <c r="J13" s="756"/>
      <c r="K13" s="645">
        <f>K12-K18-K19-K20-K21</f>
        <v>0</v>
      </c>
      <c r="L13" s="646"/>
      <c r="M13" s="645">
        <f>M12-M18-M19-M20-M21</f>
        <v>0</v>
      </c>
      <c r="N13" s="646"/>
      <c r="O13" s="645">
        <f>O12-O18-O19-O20-O21</f>
        <v>0</v>
      </c>
      <c r="P13" s="646"/>
      <c r="Q13" s="645">
        <f>Q12-Q18-Q19-Q20-Q21</f>
        <v>0</v>
      </c>
      <c r="R13" s="646"/>
      <c r="S13" s="645">
        <f>S12-S18-S19-S20-S21</f>
        <v>0</v>
      </c>
      <c r="T13" s="748"/>
    </row>
    <row r="14" spans="3:20" ht="13.5" x14ac:dyDescent="0.2">
      <c r="C14" s="744"/>
      <c r="D14" s="745"/>
      <c r="E14" s="753"/>
      <c r="F14" s="476"/>
      <c r="G14" s="477"/>
      <c r="H14" s="478"/>
      <c r="I14" s="645"/>
      <c r="J14" s="646"/>
      <c r="K14" s="645"/>
      <c r="L14" s="646"/>
      <c r="M14" s="645"/>
      <c r="N14" s="646"/>
      <c r="O14" s="645"/>
      <c r="P14" s="646"/>
      <c r="Q14" s="645"/>
      <c r="R14" s="646"/>
      <c r="S14" s="645"/>
      <c r="T14" s="748"/>
    </row>
    <row r="15" spans="3:20" ht="13.5" x14ac:dyDescent="0.2">
      <c r="C15" s="744"/>
      <c r="D15" s="745"/>
      <c r="E15" s="489" t="s">
        <v>92</v>
      </c>
      <c r="F15" s="622"/>
      <c r="G15" s="620"/>
      <c r="H15" s="621"/>
      <c r="I15" s="750"/>
      <c r="J15" s="751"/>
      <c r="K15" s="750"/>
      <c r="L15" s="751"/>
      <c r="M15" s="750"/>
      <c r="N15" s="751"/>
      <c r="O15" s="750"/>
      <c r="P15" s="751"/>
      <c r="Q15" s="750"/>
      <c r="R15" s="751"/>
      <c r="S15" s="750"/>
      <c r="T15" s="752"/>
    </row>
    <row r="16" spans="3:20" ht="13.5" x14ac:dyDescent="0.2">
      <c r="C16" s="744"/>
      <c r="D16" s="745"/>
      <c r="E16" s="753"/>
      <c r="F16" s="476"/>
      <c r="G16" s="477"/>
      <c r="H16" s="478"/>
      <c r="I16" s="645"/>
      <c r="J16" s="646"/>
      <c r="K16" s="645"/>
      <c r="L16" s="646"/>
      <c r="M16" s="645"/>
      <c r="N16" s="646"/>
      <c r="O16" s="645"/>
      <c r="P16" s="646"/>
      <c r="Q16" s="645"/>
      <c r="R16" s="646"/>
      <c r="S16" s="645"/>
      <c r="T16" s="748"/>
    </row>
    <row r="17" spans="3:20" ht="13.5" x14ac:dyDescent="0.2">
      <c r="C17" s="761"/>
      <c r="D17" s="762"/>
      <c r="E17" s="754"/>
      <c r="F17" s="534"/>
      <c r="G17" s="566"/>
      <c r="H17" s="535"/>
      <c r="I17" s="536"/>
      <c r="J17" s="537"/>
      <c r="K17" s="536"/>
      <c r="L17" s="537"/>
      <c r="M17" s="536"/>
      <c r="N17" s="537"/>
      <c r="O17" s="536"/>
      <c r="P17" s="537"/>
      <c r="Q17" s="536"/>
      <c r="R17" s="537"/>
      <c r="S17" s="536"/>
      <c r="T17" s="661"/>
    </row>
    <row r="18" spans="3:20" ht="13.5" x14ac:dyDescent="0.2">
      <c r="C18" s="742" t="s">
        <v>93</v>
      </c>
      <c r="D18" s="743"/>
      <c r="E18" s="622" t="s">
        <v>94</v>
      </c>
      <c r="F18" s="620"/>
      <c r="G18" s="620"/>
      <c r="H18" s="621"/>
      <c r="I18" s="750"/>
      <c r="J18" s="751"/>
      <c r="K18" s="750"/>
      <c r="L18" s="751"/>
      <c r="M18" s="750"/>
      <c r="N18" s="751"/>
      <c r="O18" s="750"/>
      <c r="P18" s="751"/>
      <c r="Q18" s="750"/>
      <c r="R18" s="751"/>
      <c r="S18" s="750"/>
      <c r="T18" s="752"/>
    </row>
    <row r="19" spans="3:20" ht="13.5" x14ac:dyDescent="0.2">
      <c r="C19" s="744"/>
      <c r="D19" s="745"/>
      <c r="E19" s="728" t="s">
        <v>95</v>
      </c>
      <c r="F19" s="729"/>
      <c r="G19" s="729"/>
      <c r="H19" s="730"/>
      <c r="I19" s="645"/>
      <c r="J19" s="646"/>
      <c r="K19" s="645"/>
      <c r="L19" s="646"/>
      <c r="M19" s="645"/>
      <c r="N19" s="646"/>
      <c r="O19" s="645"/>
      <c r="P19" s="646"/>
      <c r="Q19" s="645"/>
      <c r="R19" s="646"/>
      <c r="S19" s="645"/>
      <c r="T19" s="748"/>
    </row>
    <row r="20" spans="3:20" ht="13.5" x14ac:dyDescent="0.2">
      <c r="C20" s="744"/>
      <c r="D20" s="745"/>
      <c r="E20" s="476"/>
      <c r="F20" s="477"/>
      <c r="G20" s="477"/>
      <c r="H20" s="478"/>
      <c r="I20" s="645"/>
      <c r="J20" s="646"/>
      <c r="K20" s="645"/>
      <c r="L20" s="646"/>
      <c r="M20" s="645"/>
      <c r="N20" s="646"/>
      <c r="O20" s="645"/>
      <c r="P20" s="646"/>
      <c r="Q20" s="645"/>
      <c r="R20" s="646"/>
      <c r="S20" s="645"/>
      <c r="T20" s="748"/>
    </row>
    <row r="21" spans="3:20" ht="13.5" x14ac:dyDescent="0.2">
      <c r="C21" s="744"/>
      <c r="D21" s="745"/>
      <c r="E21" s="534" t="s">
        <v>96</v>
      </c>
      <c r="F21" s="566"/>
      <c r="G21" s="566"/>
      <c r="H21" s="535"/>
      <c r="I21" s="654"/>
      <c r="J21" s="655"/>
      <c r="K21" s="654"/>
      <c r="L21" s="655"/>
      <c r="M21" s="654"/>
      <c r="N21" s="655"/>
      <c r="O21" s="654"/>
      <c r="P21" s="655"/>
      <c r="Q21" s="654"/>
      <c r="R21" s="655"/>
      <c r="S21" s="654"/>
      <c r="T21" s="749"/>
    </row>
    <row r="22" spans="3:20" ht="14.25" thickBot="1" x14ac:dyDescent="0.25">
      <c r="C22" s="746"/>
      <c r="D22" s="747"/>
      <c r="E22" s="481" t="s">
        <v>97</v>
      </c>
      <c r="F22" s="482"/>
      <c r="G22" s="482"/>
      <c r="H22" s="480"/>
      <c r="I22" s="736">
        <f>SUM(I18:I21)</f>
        <v>0</v>
      </c>
      <c r="J22" s="741"/>
      <c r="K22" s="736">
        <f>SUM(K18:K21)</f>
        <v>0</v>
      </c>
      <c r="L22" s="741"/>
      <c r="M22" s="736">
        <f>SUM(M18:M21)+M18</f>
        <v>0</v>
      </c>
      <c r="N22" s="741"/>
      <c r="O22" s="736">
        <f>SUM(O18:O21)</f>
        <v>0</v>
      </c>
      <c r="P22" s="741"/>
      <c r="Q22" s="736">
        <f>SUM(Q18:Q21)</f>
        <v>0</v>
      </c>
      <c r="R22" s="741"/>
      <c r="S22" s="736">
        <f>SUM(S18:S21)</f>
        <v>0</v>
      </c>
      <c r="T22" s="737"/>
    </row>
    <row r="23" spans="3:20" ht="13.5" x14ac:dyDescent="0.2">
      <c r="C23" s="47"/>
      <c r="D23" s="47"/>
      <c r="E23" s="39"/>
      <c r="F23" s="39"/>
      <c r="G23" s="39"/>
      <c r="H23" s="39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3:20" ht="14.25" thickBot="1" x14ac:dyDescent="0.25">
      <c r="C24" s="491" t="s">
        <v>98</v>
      </c>
      <c r="D24" s="491"/>
      <c r="E24" s="491"/>
      <c r="F24" s="491"/>
      <c r="G24" s="491"/>
      <c r="H24" s="491"/>
      <c r="I24" s="491"/>
      <c r="J24" s="21"/>
      <c r="K24" s="21"/>
      <c r="L24" s="21"/>
      <c r="M24" s="21"/>
      <c r="N24" s="21"/>
      <c r="O24" s="21"/>
      <c r="P24" s="21"/>
      <c r="Q24" s="22"/>
      <c r="R24" s="21"/>
      <c r="S24" s="22" t="s">
        <v>99</v>
      </c>
      <c r="T24" s="21"/>
    </row>
    <row r="25" spans="3:20" ht="13.5" x14ac:dyDescent="0.2">
      <c r="C25" s="738" t="s">
        <v>163</v>
      </c>
      <c r="D25" s="739"/>
      <c r="E25" s="739"/>
      <c r="F25" s="740"/>
      <c r="G25" s="45">
        <v>1</v>
      </c>
      <c r="H25" s="45">
        <v>2</v>
      </c>
      <c r="I25" s="45">
        <v>3</v>
      </c>
      <c r="J25" s="45">
        <v>4</v>
      </c>
      <c r="K25" s="45">
        <v>5</v>
      </c>
      <c r="L25" s="45">
        <v>6</v>
      </c>
      <c r="M25" s="45">
        <v>7</v>
      </c>
      <c r="N25" s="45">
        <v>8</v>
      </c>
      <c r="O25" s="45">
        <v>9</v>
      </c>
      <c r="P25" s="45">
        <v>10</v>
      </c>
      <c r="Q25" s="45">
        <v>11</v>
      </c>
      <c r="R25" s="45">
        <v>12</v>
      </c>
      <c r="S25" s="492" t="s">
        <v>100</v>
      </c>
      <c r="T25" s="603"/>
    </row>
    <row r="26" spans="3:20" ht="13.5" x14ac:dyDescent="0.2">
      <c r="C26" s="702" t="s">
        <v>101</v>
      </c>
      <c r="D26" s="622">
        <f>G5</f>
        <v>0</v>
      </c>
      <c r="E26" s="620"/>
      <c r="F26" s="621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623">
        <f t="shared" ref="S26:S31" si="3">SUM(G26:R26)</f>
        <v>0</v>
      </c>
      <c r="T26" s="630"/>
    </row>
    <row r="27" spans="3:20" ht="13.5" x14ac:dyDescent="0.2">
      <c r="C27" s="677"/>
      <c r="D27" s="476">
        <f>G6</f>
        <v>0</v>
      </c>
      <c r="E27" s="477"/>
      <c r="F27" s="478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529">
        <f t="shared" si="3"/>
        <v>0</v>
      </c>
      <c r="T27" s="611"/>
    </row>
    <row r="28" spans="3:20" ht="13.5" x14ac:dyDescent="0.2">
      <c r="C28" s="677"/>
      <c r="D28" s="476">
        <f t="shared" ref="D28:D31" si="4">G7</f>
        <v>0</v>
      </c>
      <c r="E28" s="477"/>
      <c r="F28" s="478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529">
        <f t="shared" si="3"/>
        <v>0</v>
      </c>
      <c r="T28" s="611"/>
    </row>
    <row r="29" spans="3:20" ht="13.5" x14ac:dyDescent="0.2">
      <c r="C29" s="677"/>
      <c r="D29" s="476">
        <f t="shared" si="4"/>
        <v>0</v>
      </c>
      <c r="E29" s="477"/>
      <c r="F29" s="478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529">
        <f t="shared" si="3"/>
        <v>0</v>
      </c>
      <c r="T29" s="611"/>
    </row>
    <row r="30" spans="3:20" ht="13.5" x14ac:dyDescent="0.2">
      <c r="C30" s="677"/>
      <c r="D30" s="476">
        <f t="shared" si="4"/>
        <v>0</v>
      </c>
      <c r="E30" s="477"/>
      <c r="F30" s="478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529">
        <f t="shared" si="3"/>
        <v>0</v>
      </c>
      <c r="T30" s="611"/>
    </row>
    <row r="31" spans="3:20" ht="13.5" x14ac:dyDescent="0.2">
      <c r="C31" s="677"/>
      <c r="D31" s="476" t="str">
        <f t="shared" si="4"/>
        <v>繁殖和牛</v>
      </c>
      <c r="E31" s="477"/>
      <c r="F31" s="478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529">
        <f t="shared" si="3"/>
        <v>0</v>
      </c>
      <c r="T31" s="611"/>
    </row>
    <row r="32" spans="3:20" ht="13.5" x14ac:dyDescent="0.2">
      <c r="C32" s="677"/>
      <c r="D32" s="476">
        <f>G11</f>
        <v>0</v>
      </c>
      <c r="E32" s="477"/>
      <c r="F32" s="478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529">
        <f>SUM(G32:R32)</f>
        <v>0</v>
      </c>
      <c r="T32" s="611"/>
    </row>
    <row r="33" spans="3:20" ht="13.5" x14ac:dyDescent="0.2">
      <c r="C33" s="677"/>
      <c r="D33" s="728" t="s">
        <v>102</v>
      </c>
      <c r="E33" s="729"/>
      <c r="F33" s="730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529">
        <f>SUM(G33:R33)</f>
        <v>0</v>
      </c>
      <c r="T33" s="611"/>
    </row>
    <row r="34" spans="3:20" ht="13.5" x14ac:dyDescent="0.2">
      <c r="C34" s="677"/>
      <c r="D34" s="731" t="s">
        <v>92</v>
      </c>
      <c r="E34" s="732"/>
      <c r="F34" s="733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529">
        <f>SUM(G34:R34)</f>
        <v>0</v>
      </c>
      <c r="T34" s="611"/>
    </row>
    <row r="35" spans="3:20" ht="14.25" thickBot="1" x14ac:dyDescent="0.25">
      <c r="C35" s="703"/>
      <c r="D35" s="722" t="s">
        <v>100</v>
      </c>
      <c r="E35" s="723"/>
      <c r="F35" s="724"/>
      <c r="G35" s="26">
        <f>SUM(G26:G34)</f>
        <v>0</v>
      </c>
      <c r="H35" s="26">
        <f t="shared" ref="H35:R35" si="5">SUM(H26:H34)</f>
        <v>0</v>
      </c>
      <c r="I35" s="26">
        <f t="shared" si="5"/>
        <v>0</v>
      </c>
      <c r="J35" s="26">
        <f t="shared" si="5"/>
        <v>0</v>
      </c>
      <c r="K35" s="26">
        <f t="shared" si="5"/>
        <v>0</v>
      </c>
      <c r="L35" s="26">
        <f t="shared" si="5"/>
        <v>0</v>
      </c>
      <c r="M35" s="26">
        <f t="shared" si="5"/>
        <v>0</v>
      </c>
      <c r="N35" s="26">
        <f t="shared" si="5"/>
        <v>0</v>
      </c>
      <c r="O35" s="26">
        <f t="shared" si="5"/>
        <v>0</v>
      </c>
      <c r="P35" s="26">
        <f t="shared" si="5"/>
        <v>0</v>
      </c>
      <c r="Q35" s="26">
        <f t="shared" si="5"/>
        <v>0</v>
      </c>
      <c r="R35" s="26">
        <f t="shared" si="5"/>
        <v>0</v>
      </c>
      <c r="S35" s="673">
        <f>SUM(S26:S34)</f>
        <v>0</v>
      </c>
      <c r="T35" s="675"/>
    </row>
    <row r="36" spans="3:20" ht="14.25" thickTop="1" x14ac:dyDescent="0.2">
      <c r="C36" s="676" t="s">
        <v>103</v>
      </c>
      <c r="D36" s="725">
        <f>G5</f>
        <v>0</v>
      </c>
      <c r="E36" s="726"/>
      <c r="F36" s="727"/>
      <c r="G36" s="42"/>
      <c r="H36" s="42"/>
      <c r="I36" s="42"/>
      <c r="J36" s="42"/>
      <c r="K36" s="42"/>
      <c r="L36" s="42"/>
      <c r="M36" s="42"/>
      <c r="N36" s="42"/>
      <c r="O36" s="23"/>
      <c r="P36" s="23"/>
      <c r="Q36" s="23"/>
      <c r="R36" s="23"/>
      <c r="S36" s="623">
        <f>SUM(G36:R36)</f>
        <v>0</v>
      </c>
      <c r="T36" s="630"/>
    </row>
    <row r="37" spans="3:20" ht="13.5" x14ac:dyDescent="0.2">
      <c r="C37" s="677"/>
      <c r="D37" s="476">
        <f>G6</f>
        <v>0</v>
      </c>
      <c r="E37" s="477"/>
      <c r="F37" s="478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529">
        <f>SUM(G37:R37)</f>
        <v>0</v>
      </c>
      <c r="T37" s="611"/>
    </row>
    <row r="38" spans="3:20" ht="13.5" x14ac:dyDescent="0.2">
      <c r="C38" s="677"/>
      <c r="D38" s="476">
        <f t="shared" ref="D38:D41" si="6">G7</f>
        <v>0</v>
      </c>
      <c r="E38" s="477"/>
      <c r="F38" s="478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529">
        <f t="shared" ref="S38:S44" si="7">SUM(G38:R38)</f>
        <v>0</v>
      </c>
      <c r="T38" s="611"/>
    </row>
    <row r="39" spans="3:20" ht="13.5" x14ac:dyDescent="0.2">
      <c r="C39" s="677"/>
      <c r="D39" s="476">
        <f t="shared" si="6"/>
        <v>0</v>
      </c>
      <c r="E39" s="477"/>
      <c r="F39" s="478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529">
        <f t="shared" si="7"/>
        <v>0</v>
      </c>
      <c r="T39" s="611"/>
    </row>
    <row r="40" spans="3:20" ht="13.5" x14ac:dyDescent="0.2">
      <c r="C40" s="677"/>
      <c r="D40" s="476">
        <f t="shared" si="6"/>
        <v>0</v>
      </c>
      <c r="E40" s="477"/>
      <c r="F40" s="478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529">
        <f>SUM(G40:R40)</f>
        <v>0</v>
      </c>
      <c r="T40" s="611"/>
    </row>
    <row r="41" spans="3:20" ht="13.5" x14ac:dyDescent="0.2">
      <c r="C41" s="677"/>
      <c r="D41" s="476" t="str">
        <f t="shared" si="6"/>
        <v>繁殖和牛</v>
      </c>
      <c r="E41" s="477"/>
      <c r="F41" s="478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529">
        <f t="shared" si="7"/>
        <v>0</v>
      </c>
      <c r="T41" s="611"/>
    </row>
    <row r="42" spans="3:20" ht="13.5" x14ac:dyDescent="0.2">
      <c r="C42" s="677"/>
      <c r="D42" s="476">
        <f>G11</f>
        <v>0</v>
      </c>
      <c r="E42" s="477"/>
      <c r="F42" s="478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529">
        <f t="shared" si="7"/>
        <v>0</v>
      </c>
      <c r="T42" s="611"/>
    </row>
    <row r="43" spans="3:20" ht="13.5" x14ac:dyDescent="0.2">
      <c r="C43" s="677"/>
      <c r="D43" s="728" t="s">
        <v>102</v>
      </c>
      <c r="E43" s="729"/>
      <c r="F43" s="730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529">
        <f t="shared" si="7"/>
        <v>0</v>
      </c>
      <c r="T43" s="611"/>
    </row>
    <row r="44" spans="3:20" ht="13.5" x14ac:dyDescent="0.2">
      <c r="C44" s="677"/>
      <c r="D44" s="731" t="s">
        <v>92</v>
      </c>
      <c r="E44" s="732"/>
      <c r="F44" s="733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536">
        <f t="shared" si="7"/>
        <v>0</v>
      </c>
      <c r="T44" s="661"/>
    </row>
    <row r="45" spans="3:20" ht="14.25" thickBot="1" x14ac:dyDescent="0.25">
      <c r="C45" s="678"/>
      <c r="D45" s="634" t="s">
        <v>100</v>
      </c>
      <c r="E45" s="634"/>
      <c r="F45" s="634"/>
      <c r="G45" s="46">
        <f>SUM(G36:G44)</f>
        <v>0</v>
      </c>
      <c r="H45" s="46">
        <f t="shared" ref="H45:R45" si="8">SUM(H36:H44)</f>
        <v>0</v>
      </c>
      <c r="I45" s="46">
        <f t="shared" si="8"/>
        <v>0</v>
      </c>
      <c r="J45" s="46">
        <f t="shared" si="8"/>
        <v>0</v>
      </c>
      <c r="K45" s="46">
        <f t="shared" si="8"/>
        <v>0</v>
      </c>
      <c r="L45" s="46">
        <f t="shared" si="8"/>
        <v>0</v>
      </c>
      <c r="M45" s="46">
        <f t="shared" si="8"/>
        <v>0</v>
      </c>
      <c r="N45" s="46">
        <f t="shared" si="8"/>
        <v>0</v>
      </c>
      <c r="O45" s="46">
        <f t="shared" si="8"/>
        <v>0</v>
      </c>
      <c r="P45" s="46">
        <f t="shared" si="8"/>
        <v>0</v>
      </c>
      <c r="Q45" s="46">
        <f t="shared" si="8"/>
        <v>0</v>
      </c>
      <c r="R45" s="46">
        <f t="shared" si="8"/>
        <v>0</v>
      </c>
      <c r="S45" s="734">
        <f>SUM(G45:R45)</f>
        <v>0</v>
      </c>
      <c r="T45" s="735"/>
    </row>
    <row r="46" spans="3:20" ht="13.5" x14ac:dyDescent="0.2">
      <c r="C46" s="41"/>
      <c r="D46" s="39"/>
      <c r="E46" s="39"/>
      <c r="F46" s="39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5"/>
      <c r="T46" s="35"/>
    </row>
    <row r="47" spans="3:20" ht="14.25" thickBot="1" x14ac:dyDescent="0.25">
      <c r="C47" s="491" t="s">
        <v>104</v>
      </c>
      <c r="D47" s="491"/>
      <c r="E47" s="491"/>
      <c r="F47" s="491"/>
      <c r="G47" s="491"/>
      <c r="H47" s="491"/>
      <c r="I47" s="491"/>
      <c r="J47" s="21"/>
      <c r="K47" s="21"/>
      <c r="L47" s="21"/>
      <c r="M47" s="21"/>
      <c r="N47" s="21"/>
      <c r="O47" s="27"/>
      <c r="P47" s="21"/>
      <c r="Q47" s="21"/>
      <c r="R47" s="27" t="s">
        <v>105</v>
      </c>
      <c r="S47" s="21"/>
      <c r="T47" s="21"/>
    </row>
    <row r="48" spans="3:20" ht="13.5" x14ac:dyDescent="0.2">
      <c r="C48" s="631" t="s">
        <v>106</v>
      </c>
      <c r="D48" s="496"/>
      <c r="E48" s="497"/>
      <c r="F48" s="720" t="s">
        <v>107</v>
      </c>
      <c r="G48" s="721"/>
      <c r="H48" s="495" t="s">
        <v>108</v>
      </c>
      <c r="I48" s="497"/>
      <c r="J48" s="495" t="s">
        <v>109</v>
      </c>
      <c r="K48" s="497"/>
      <c r="L48" s="495" t="s">
        <v>110</v>
      </c>
      <c r="M48" s="496"/>
      <c r="N48" s="497"/>
      <c r="O48" s="495" t="s">
        <v>111</v>
      </c>
      <c r="P48" s="496"/>
      <c r="Q48" s="497"/>
      <c r="R48" s="495" t="s">
        <v>112</v>
      </c>
      <c r="S48" s="496"/>
      <c r="T48" s="713"/>
    </row>
    <row r="49" spans="3:20" x14ac:dyDescent="0.2">
      <c r="C49" s="632"/>
      <c r="D49" s="499"/>
      <c r="E49" s="500"/>
      <c r="F49" s="714" t="s">
        <v>113</v>
      </c>
      <c r="G49" s="715"/>
      <c r="H49" s="714" t="s">
        <v>114</v>
      </c>
      <c r="I49" s="715"/>
      <c r="J49" s="716" t="s">
        <v>115</v>
      </c>
      <c r="K49" s="717"/>
      <c r="L49" s="716" t="s">
        <v>115</v>
      </c>
      <c r="M49" s="718"/>
      <c r="N49" s="717"/>
      <c r="O49" s="716" t="s">
        <v>115</v>
      </c>
      <c r="P49" s="718"/>
      <c r="Q49" s="717"/>
      <c r="R49" s="716" t="s">
        <v>115</v>
      </c>
      <c r="S49" s="718"/>
      <c r="T49" s="719"/>
    </row>
    <row r="50" spans="3:20" ht="13.5" x14ac:dyDescent="0.2">
      <c r="C50" s="702" t="s">
        <v>116</v>
      </c>
      <c r="D50" s="554">
        <f>G5</f>
        <v>0</v>
      </c>
      <c r="E50" s="555"/>
      <c r="F50" s="709">
        <f t="shared" ref="F50:F55" si="9">I5</f>
        <v>0</v>
      </c>
      <c r="G50" s="710"/>
      <c r="H50" s="711">
        <f>F50*0</f>
        <v>0</v>
      </c>
      <c r="I50" s="712"/>
      <c r="J50" s="623"/>
      <c r="K50" s="625"/>
      <c r="L50" s="623">
        <f t="shared" ref="L50:L51" si="10">H50*J50</f>
        <v>0</v>
      </c>
      <c r="M50" s="624"/>
      <c r="N50" s="625"/>
      <c r="O50" s="706">
        <f t="shared" ref="O50:O58" si="11">L50*0</f>
        <v>0</v>
      </c>
      <c r="P50" s="707"/>
      <c r="Q50" s="708"/>
      <c r="R50" s="623">
        <f t="shared" ref="R50:R51" si="12">L50-O50</f>
        <v>0</v>
      </c>
      <c r="S50" s="624"/>
      <c r="T50" s="630"/>
    </row>
    <row r="51" spans="3:20" ht="13.5" x14ac:dyDescent="0.2">
      <c r="C51" s="677"/>
      <c r="D51" s="541">
        <f>G6</f>
        <v>0</v>
      </c>
      <c r="E51" s="539"/>
      <c r="F51" s="645">
        <f t="shared" si="9"/>
        <v>0</v>
      </c>
      <c r="G51" s="646"/>
      <c r="H51" s="529">
        <f>F51*0</f>
        <v>0</v>
      </c>
      <c r="I51" s="530"/>
      <c r="J51" s="529"/>
      <c r="K51" s="530"/>
      <c r="L51" s="529">
        <f t="shared" si="10"/>
        <v>0</v>
      </c>
      <c r="M51" s="581"/>
      <c r="N51" s="530"/>
      <c r="O51" s="649">
        <f t="shared" si="11"/>
        <v>0</v>
      </c>
      <c r="P51" s="650"/>
      <c r="Q51" s="651"/>
      <c r="R51" s="529">
        <f t="shared" si="12"/>
        <v>0</v>
      </c>
      <c r="S51" s="581"/>
      <c r="T51" s="611"/>
    </row>
    <row r="52" spans="3:20" ht="13.5" x14ac:dyDescent="0.2">
      <c r="C52" s="677"/>
      <c r="D52" s="541">
        <f t="shared" ref="D52:D56" si="13">G7</f>
        <v>0</v>
      </c>
      <c r="E52" s="539"/>
      <c r="F52" s="645">
        <f t="shared" si="9"/>
        <v>0</v>
      </c>
      <c r="G52" s="646"/>
      <c r="H52" s="529">
        <f>F52*0</f>
        <v>0</v>
      </c>
      <c r="I52" s="530"/>
      <c r="J52" s="529"/>
      <c r="K52" s="530"/>
      <c r="L52" s="529">
        <f t="shared" ref="L52:L54" si="14">H52*J52</f>
        <v>0</v>
      </c>
      <c r="M52" s="581"/>
      <c r="N52" s="530"/>
      <c r="O52" s="649">
        <f t="shared" si="11"/>
        <v>0</v>
      </c>
      <c r="P52" s="650"/>
      <c r="Q52" s="651"/>
      <c r="R52" s="529">
        <f t="shared" ref="R52:R54" si="15">L52-O52</f>
        <v>0</v>
      </c>
      <c r="S52" s="581"/>
      <c r="T52" s="611"/>
    </row>
    <row r="53" spans="3:20" ht="13.5" x14ac:dyDescent="0.2">
      <c r="C53" s="677"/>
      <c r="D53" s="541">
        <f t="shared" si="13"/>
        <v>0</v>
      </c>
      <c r="E53" s="539"/>
      <c r="F53" s="645">
        <f t="shared" si="9"/>
        <v>0</v>
      </c>
      <c r="G53" s="646"/>
      <c r="H53" s="529">
        <f t="shared" ref="H53:H56" si="16">F53*0</f>
        <v>0</v>
      </c>
      <c r="I53" s="530"/>
      <c r="J53" s="529"/>
      <c r="K53" s="530"/>
      <c r="L53" s="529">
        <f t="shared" si="14"/>
        <v>0</v>
      </c>
      <c r="M53" s="581"/>
      <c r="N53" s="530"/>
      <c r="O53" s="649">
        <f t="shared" si="11"/>
        <v>0</v>
      </c>
      <c r="P53" s="650"/>
      <c r="Q53" s="651"/>
      <c r="R53" s="529">
        <f t="shared" si="15"/>
        <v>0</v>
      </c>
      <c r="S53" s="581"/>
      <c r="T53" s="611"/>
    </row>
    <row r="54" spans="3:20" ht="13.5" x14ac:dyDescent="0.2">
      <c r="C54" s="677"/>
      <c r="D54" s="541">
        <f t="shared" si="13"/>
        <v>0</v>
      </c>
      <c r="E54" s="539"/>
      <c r="F54" s="645">
        <f t="shared" si="9"/>
        <v>0</v>
      </c>
      <c r="G54" s="646"/>
      <c r="H54" s="529">
        <f t="shared" si="16"/>
        <v>0</v>
      </c>
      <c r="I54" s="530"/>
      <c r="J54" s="529"/>
      <c r="K54" s="530"/>
      <c r="L54" s="529">
        <f t="shared" si="14"/>
        <v>0</v>
      </c>
      <c r="M54" s="581"/>
      <c r="N54" s="530"/>
      <c r="O54" s="649">
        <f t="shared" si="11"/>
        <v>0</v>
      </c>
      <c r="P54" s="650"/>
      <c r="Q54" s="651"/>
      <c r="R54" s="529">
        <f t="shared" si="15"/>
        <v>0</v>
      </c>
      <c r="S54" s="581"/>
      <c r="T54" s="611"/>
    </row>
    <row r="55" spans="3:20" ht="13.5" x14ac:dyDescent="0.2">
      <c r="C55" s="677"/>
      <c r="D55" s="541" t="str">
        <f t="shared" si="13"/>
        <v>繁殖和牛</v>
      </c>
      <c r="E55" s="539"/>
      <c r="F55" s="704">
        <f t="shared" si="9"/>
        <v>0</v>
      </c>
      <c r="G55" s="705"/>
      <c r="H55" s="529">
        <f>動態表!E18</f>
        <v>0</v>
      </c>
      <c r="I55" s="530"/>
      <c r="J55" s="529"/>
      <c r="K55" s="530"/>
      <c r="L55" s="529">
        <f t="shared" ref="L55:L56" si="17">H55*J55</f>
        <v>0</v>
      </c>
      <c r="M55" s="581"/>
      <c r="N55" s="530"/>
      <c r="O55" s="649">
        <f t="shared" si="11"/>
        <v>0</v>
      </c>
      <c r="P55" s="650"/>
      <c r="Q55" s="651"/>
      <c r="R55" s="529">
        <f t="shared" ref="R55:R57" si="18">L55-O55</f>
        <v>0</v>
      </c>
      <c r="S55" s="581"/>
      <c r="T55" s="611"/>
    </row>
    <row r="56" spans="3:20" ht="13.5" x14ac:dyDescent="0.2">
      <c r="C56" s="677"/>
      <c r="D56" s="541">
        <f t="shared" si="13"/>
        <v>0</v>
      </c>
      <c r="E56" s="539"/>
      <c r="F56" s="645">
        <f t="shared" ref="F56" si="19">I11</f>
        <v>0</v>
      </c>
      <c r="G56" s="646"/>
      <c r="H56" s="529">
        <f t="shared" si="16"/>
        <v>0</v>
      </c>
      <c r="I56" s="530"/>
      <c r="J56" s="529"/>
      <c r="K56" s="530"/>
      <c r="L56" s="529">
        <f t="shared" si="17"/>
        <v>0</v>
      </c>
      <c r="M56" s="581"/>
      <c r="N56" s="530"/>
      <c r="O56" s="649">
        <f t="shared" si="11"/>
        <v>0</v>
      </c>
      <c r="P56" s="650"/>
      <c r="Q56" s="651"/>
      <c r="R56" s="529">
        <f t="shared" si="18"/>
        <v>0</v>
      </c>
      <c r="S56" s="581"/>
      <c r="T56" s="611"/>
    </row>
    <row r="57" spans="3:20" ht="13.5" x14ac:dyDescent="0.2">
      <c r="C57" s="677"/>
      <c r="D57" s="662" t="s">
        <v>117</v>
      </c>
      <c r="E57" s="663"/>
      <c r="F57" s="645">
        <f>K79</f>
        <v>0</v>
      </c>
      <c r="G57" s="646"/>
      <c r="H57" s="529"/>
      <c r="I57" s="530"/>
      <c r="J57" s="529"/>
      <c r="K57" s="530"/>
      <c r="L57" s="529">
        <f>M79</f>
        <v>0</v>
      </c>
      <c r="M57" s="581"/>
      <c r="N57" s="530"/>
      <c r="O57" s="649">
        <f t="shared" si="11"/>
        <v>0</v>
      </c>
      <c r="P57" s="650"/>
      <c r="Q57" s="651"/>
      <c r="R57" s="529">
        <f t="shared" si="18"/>
        <v>0</v>
      </c>
      <c r="S57" s="581"/>
      <c r="T57" s="611"/>
    </row>
    <row r="58" spans="3:20" ht="13.5" x14ac:dyDescent="0.2">
      <c r="C58" s="677"/>
      <c r="D58" s="652" t="s">
        <v>118</v>
      </c>
      <c r="E58" s="653"/>
      <c r="F58" s="654"/>
      <c r="G58" s="655"/>
      <c r="H58" s="656"/>
      <c r="I58" s="657"/>
      <c r="J58" s="656"/>
      <c r="K58" s="657"/>
      <c r="L58" s="529">
        <f>M89</f>
        <v>0</v>
      </c>
      <c r="M58" s="581"/>
      <c r="N58" s="530"/>
      <c r="O58" s="649">
        <f t="shared" si="11"/>
        <v>0</v>
      </c>
      <c r="P58" s="650"/>
      <c r="Q58" s="651"/>
      <c r="R58" s="529">
        <f>L58-O58</f>
        <v>0</v>
      </c>
      <c r="S58" s="581"/>
      <c r="T58" s="611"/>
    </row>
    <row r="59" spans="3:20" ht="14.25" thickBot="1" x14ac:dyDescent="0.25">
      <c r="C59" s="703"/>
      <c r="D59" s="692" t="s">
        <v>100</v>
      </c>
      <c r="E59" s="693"/>
      <c r="F59" s="694"/>
      <c r="G59" s="695"/>
      <c r="H59" s="696"/>
      <c r="I59" s="697"/>
      <c r="J59" s="696"/>
      <c r="K59" s="697"/>
      <c r="L59" s="673">
        <f>SUM(L50:N58)</f>
        <v>0</v>
      </c>
      <c r="M59" s="674"/>
      <c r="N59" s="698"/>
      <c r="O59" s="699">
        <f>SUM(O50:Q58)</f>
        <v>0</v>
      </c>
      <c r="P59" s="700"/>
      <c r="Q59" s="701"/>
      <c r="R59" s="673">
        <f>SUM(R50:T58)</f>
        <v>0</v>
      </c>
      <c r="S59" s="674"/>
      <c r="T59" s="675"/>
    </row>
    <row r="60" spans="3:20" ht="14.25" thickTop="1" x14ac:dyDescent="0.2">
      <c r="C60" s="676" t="s">
        <v>103</v>
      </c>
      <c r="D60" s="679">
        <f t="shared" ref="D60:D66" si="20">G5</f>
        <v>0</v>
      </c>
      <c r="E60" s="680"/>
      <c r="F60" s="681">
        <f>S5</f>
        <v>0</v>
      </c>
      <c r="G60" s="682"/>
      <c r="H60" s="683">
        <f>F60*0</f>
        <v>0</v>
      </c>
      <c r="I60" s="684"/>
      <c r="J60" s="685"/>
      <c r="K60" s="686"/>
      <c r="L60" s="685">
        <f t="shared" ref="L60:L66" si="21">H60*J60</f>
        <v>0</v>
      </c>
      <c r="M60" s="687"/>
      <c r="N60" s="686"/>
      <c r="O60" s="688">
        <f t="shared" ref="O60:O68" si="22">L60*0</f>
        <v>0</v>
      </c>
      <c r="P60" s="689"/>
      <c r="Q60" s="690"/>
      <c r="R60" s="685">
        <f t="shared" ref="R60:R67" si="23">L60-O60</f>
        <v>0</v>
      </c>
      <c r="S60" s="687"/>
      <c r="T60" s="691"/>
    </row>
    <row r="61" spans="3:20" ht="13.5" x14ac:dyDescent="0.2">
      <c r="C61" s="677"/>
      <c r="D61" s="541">
        <f t="shared" si="20"/>
        <v>0</v>
      </c>
      <c r="E61" s="539"/>
      <c r="F61" s="645">
        <f t="shared" ref="F61:F66" si="24">S6</f>
        <v>0</v>
      </c>
      <c r="G61" s="646"/>
      <c r="H61" s="529">
        <f t="shared" ref="H61:H66" si="25">F61*0</f>
        <v>0</v>
      </c>
      <c r="I61" s="530"/>
      <c r="J61" s="529"/>
      <c r="K61" s="530"/>
      <c r="L61" s="529">
        <f t="shared" si="21"/>
        <v>0</v>
      </c>
      <c r="M61" s="581"/>
      <c r="N61" s="530"/>
      <c r="O61" s="649">
        <f t="shared" si="22"/>
        <v>0</v>
      </c>
      <c r="P61" s="650"/>
      <c r="Q61" s="651"/>
      <c r="R61" s="529">
        <f t="shared" si="23"/>
        <v>0</v>
      </c>
      <c r="S61" s="581"/>
      <c r="T61" s="611"/>
    </row>
    <row r="62" spans="3:20" ht="13.5" x14ac:dyDescent="0.2">
      <c r="C62" s="677"/>
      <c r="D62" s="541">
        <f t="shared" si="20"/>
        <v>0</v>
      </c>
      <c r="E62" s="539"/>
      <c r="F62" s="645">
        <f t="shared" si="24"/>
        <v>0</v>
      </c>
      <c r="G62" s="646"/>
      <c r="H62" s="647">
        <f>F62*0</f>
        <v>0</v>
      </c>
      <c r="I62" s="648"/>
      <c r="J62" s="529"/>
      <c r="K62" s="530"/>
      <c r="L62" s="529">
        <f t="shared" si="21"/>
        <v>0</v>
      </c>
      <c r="M62" s="581"/>
      <c r="N62" s="530"/>
      <c r="O62" s="649">
        <f t="shared" si="22"/>
        <v>0</v>
      </c>
      <c r="P62" s="650"/>
      <c r="Q62" s="651"/>
      <c r="R62" s="664">
        <f t="shared" si="23"/>
        <v>0</v>
      </c>
      <c r="S62" s="665"/>
      <c r="T62" s="666"/>
    </row>
    <row r="63" spans="3:20" ht="13.5" x14ac:dyDescent="0.2">
      <c r="C63" s="677"/>
      <c r="D63" s="541">
        <f t="shared" si="20"/>
        <v>0</v>
      </c>
      <c r="E63" s="539"/>
      <c r="F63" s="645">
        <f t="shared" si="24"/>
        <v>0</v>
      </c>
      <c r="G63" s="646"/>
      <c r="H63" s="529">
        <f t="shared" si="25"/>
        <v>0</v>
      </c>
      <c r="I63" s="530"/>
      <c r="J63" s="529"/>
      <c r="K63" s="530"/>
      <c r="L63" s="529">
        <f t="shared" si="21"/>
        <v>0</v>
      </c>
      <c r="M63" s="581"/>
      <c r="N63" s="530"/>
      <c r="O63" s="649">
        <f t="shared" si="22"/>
        <v>0</v>
      </c>
      <c r="P63" s="650"/>
      <c r="Q63" s="651"/>
      <c r="R63" s="529">
        <f t="shared" si="23"/>
        <v>0</v>
      </c>
      <c r="S63" s="581"/>
      <c r="T63" s="611"/>
    </row>
    <row r="64" spans="3:20" ht="13.5" x14ac:dyDescent="0.2">
      <c r="C64" s="677"/>
      <c r="D64" s="541">
        <f t="shared" si="20"/>
        <v>0</v>
      </c>
      <c r="E64" s="539"/>
      <c r="F64" s="645">
        <f t="shared" si="24"/>
        <v>0</v>
      </c>
      <c r="G64" s="646"/>
      <c r="H64" s="647">
        <f t="shared" si="25"/>
        <v>0</v>
      </c>
      <c r="I64" s="648"/>
      <c r="J64" s="529"/>
      <c r="K64" s="530"/>
      <c r="L64" s="529">
        <f t="shared" si="21"/>
        <v>0</v>
      </c>
      <c r="M64" s="581"/>
      <c r="N64" s="530"/>
      <c r="O64" s="649">
        <f t="shared" si="22"/>
        <v>0</v>
      </c>
      <c r="P64" s="650"/>
      <c r="Q64" s="651"/>
      <c r="R64" s="664">
        <f t="shared" si="23"/>
        <v>0</v>
      </c>
      <c r="S64" s="665"/>
      <c r="T64" s="666"/>
    </row>
    <row r="65" spans="3:20" ht="13.5" x14ac:dyDescent="0.2">
      <c r="C65" s="677"/>
      <c r="D65" s="541" t="str">
        <f t="shared" si="20"/>
        <v>繁殖和牛</v>
      </c>
      <c r="E65" s="539"/>
      <c r="F65" s="669">
        <f>S10</f>
        <v>0</v>
      </c>
      <c r="G65" s="670"/>
      <c r="H65" s="671">
        <f>動態表!J18</f>
        <v>0</v>
      </c>
      <c r="I65" s="672"/>
      <c r="J65" s="529"/>
      <c r="K65" s="530"/>
      <c r="L65" s="529">
        <f t="shared" si="21"/>
        <v>0</v>
      </c>
      <c r="M65" s="581"/>
      <c r="N65" s="530"/>
      <c r="O65" s="649">
        <f t="shared" si="22"/>
        <v>0</v>
      </c>
      <c r="P65" s="650"/>
      <c r="Q65" s="651"/>
      <c r="R65" s="664">
        <f t="shared" si="23"/>
        <v>0</v>
      </c>
      <c r="S65" s="665"/>
      <c r="T65" s="666"/>
    </row>
    <row r="66" spans="3:20" ht="13.5" x14ac:dyDescent="0.2">
      <c r="C66" s="677"/>
      <c r="D66" s="541">
        <f t="shared" si="20"/>
        <v>0</v>
      </c>
      <c r="E66" s="539"/>
      <c r="F66" s="645">
        <f t="shared" si="24"/>
        <v>0</v>
      </c>
      <c r="G66" s="646"/>
      <c r="H66" s="667">
        <f t="shared" si="25"/>
        <v>0</v>
      </c>
      <c r="I66" s="668"/>
      <c r="J66" s="529"/>
      <c r="K66" s="530"/>
      <c r="L66" s="529">
        <f t="shared" si="21"/>
        <v>0</v>
      </c>
      <c r="M66" s="581"/>
      <c r="N66" s="530"/>
      <c r="O66" s="649">
        <f t="shared" si="22"/>
        <v>0</v>
      </c>
      <c r="P66" s="650"/>
      <c r="Q66" s="651"/>
      <c r="R66" s="664">
        <f t="shared" si="23"/>
        <v>0</v>
      </c>
      <c r="S66" s="665"/>
      <c r="T66" s="666"/>
    </row>
    <row r="67" spans="3:20" ht="13.5" x14ac:dyDescent="0.2">
      <c r="C67" s="677"/>
      <c r="D67" s="662" t="s">
        <v>117</v>
      </c>
      <c r="E67" s="663"/>
      <c r="F67" s="645">
        <f>P79</f>
        <v>0</v>
      </c>
      <c r="G67" s="646"/>
      <c r="H67" s="529"/>
      <c r="I67" s="530"/>
      <c r="J67" s="529"/>
      <c r="K67" s="530"/>
      <c r="L67" s="529">
        <f>R79</f>
        <v>0</v>
      </c>
      <c r="M67" s="581"/>
      <c r="N67" s="530"/>
      <c r="O67" s="649">
        <f t="shared" si="22"/>
        <v>0</v>
      </c>
      <c r="P67" s="650"/>
      <c r="Q67" s="651"/>
      <c r="R67" s="529">
        <f t="shared" si="23"/>
        <v>0</v>
      </c>
      <c r="S67" s="581"/>
      <c r="T67" s="611"/>
    </row>
    <row r="68" spans="3:20" ht="13.5" x14ac:dyDescent="0.2">
      <c r="C68" s="677"/>
      <c r="D68" s="652" t="s">
        <v>118</v>
      </c>
      <c r="E68" s="653"/>
      <c r="F68" s="654"/>
      <c r="G68" s="655"/>
      <c r="H68" s="656"/>
      <c r="I68" s="657"/>
      <c r="J68" s="656"/>
      <c r="K68" s="657"/>
      <c r="L68" s="536">
        <f>R89</f>
        <v>0</v>
      </c>
      <c r="M68" s="569"/>
      <c r="N68" s="537"/>
      <c r="O68" s="658">
        <f t="shared" si="22"/>
        <v>0</v>
      </c>
      <c r="P68" s="659"/>
      <c r="Q68" s="660"/>
      <c r="R68" s="536">
        <f>L68-O68</f>
        <v>0</v>
      </c>
      <c r="S68" s="569"/>
      <c r="T68" s="661"/>
    </row>
    <row r="69" spans="3:20" ht="14.25" thickBot="1" x14ac:dyDescent="0.25">
      <c r="C69" s="678"/>
      <c r="D69" s="481" t="s">
        <v>312</v>
      </c>
      <c r="E69" s="480"/>
      <c r="F69" s="640"/>
      <c r="G69" s="641"/>
      <c r="H69" s="635"/>
      <c r="I69" s="637"/>
      <c r="J69" s="635"/>
      <c r="K69" s="637"/>
      <c r="L69" s="518">
        <f>SUM(L60:N68)</f>
        <v>0</v>
      </c>
      <c r="M69" s="574"/>
      <c r="N69" s="519"/>
      <c r="O69" s="642">
        <f>SUM(O60:Q68)</f>
        <v>0</v>
      </c>
      <c r="P69" s="643"/>
      <c r="Q69" s="644"/>
      <c r="R69" s="518">
        <f>SUM(R60:T68)</f>
        <v>0</v>
      </c>
      <c r="S69" s="574"/>
      <c r="T69" s="601"/>
    </row>
    <row r="70" spans="3:20" ht="13.5" x14ac:dyDescent="0.2">
      <c r="C70" s="41"/>
      <c r="D70" s="39"/>
      <c r="E70" s="39"/>
      <c r="F70" s="33"/>
      <c r="G70" s="33"/>
      <c r="H70" s="35"/>
      <c r="I70" s="35"/>
      <c r="J70" s="35"/>
      <c r="K70" s="35"/>
      <c r="L70" s="35"/>
      <c r="M70" s="35"/>
      <c r="N70" s="35"/>
      <c r="O70" s="36"/>
      <c r="P70" s="36"/>
      <c r="Q70" s="36"/>
      <c r="R70" s="35"/>
      <c r="S70" s="35"/>
      <c r="T70" s="35"/>
    </row>
    <row r="71" spans="3:20" ht="14.25" thickBot="1" x14ac:dyDescent="0.25">
      <c r="C71" s="491" t="s">
        <v>119</v>
      </c>
      <c r="D71" s="491"/>
      <c r="E71" s="491"/>
      <c r="F71" s="491"/>
      <c r="G71" s="491"/>
      <c r="H71" s="491"/>
      <c r="I71" s="491"/>
      <c r="J71" s="21"/>
      <c r="K71" s="21"/>
      <c r="L71" s="21"/>
      <c r="M71" s="21"/>
      <c r="N71" s="21"/>
      <c r="O71" s="21"/>
      <c r="P71" s="21"/>
      <c r="Q71" s="27"/>
      <c r="R71" s="21"/>
      <c r="S71" s="27" t="s">
        <v>120</v>
      </c>
      <c r="T71" s="21"/>
    </row>
    <row r="72" spans="3:20" ht="13.5" x14ac:dyDescent="0.2">
      <c r="C72" s="631" t="s">
        <v>121</v>
      </c>
      <c r="D72" s="496"/>
      <c r="E72" s="497"/>
      <c r="F72" s="495" t="s">
        <v>122</v>
      </c>
      <c r="G72" s="497"/>
      <c r="H72" s="495" t="s">
        <v>123</v>
      </c>
      <c r="I72" s="496"/>
      <c r="J72" s="497"/>
      <c r="K72" s="492" t="s">
        <v>124</v>
      </c>
      <c r="L72" s="493"/>
      <c r="M72" s="493"/>
      <c r="N72" s="493"/>
      <c r="O72" s="494"/>
      <c r="P72" s="492" t="s">
        <v>125</v>
      </c>
      <c r="Q72" s="493"/>
      <c r="R72" s="493"/>
      <c r="S72" s="493"/>
      <c r="T72" s="603"/>
    </row>
    <row r="73" spans="3:20" ht="13.5" x14ac:dyDescent="0.2">
      <c r="C73" s="632"/>
      <c r="D73" s="499"/>
      <c r="E73" s="500"/>
      <c r="F73" s="498"/>
      <c r="G73" s="500"/>
      <c r="H73" s="498"/>
      <c r="I73" s="499"/>
      <c r="J73" s="500"/>
      <c r="K73" s="487" t="s">
        <v>126</v>
      </c>
      <c r="L73" s="486"/>
      <c r="M73" s="487" t="s">
        <v>127</v>
      </c>
      <c r="N73" s="488"/>
      <c r="O73" s="486"/>
      <c r="P73" s="487" t="s">
        <v>126</v>
      </c>
      <c r="Q73" s="486"/>
      <c r="R73" s="487" t="s">
        <v>127</v>
      </c>
      <c r="S73" s="488"/>
      <c r="T73" s="618"/>
    </row>
    <row r="74" spans="3:20" ht="13.5" x14ac:dyDescent="0.2">
      <c r="C74" s="619"/>
      <c r="D74" s="620"/>
      <c r="E74" s="621"/>
      <c r="F74" s="622"/>
      <c r="G74" s="621"/>
      <c r="H74" s="623"/>
      <c r="I74" s="624"/>
      <c r="J74" s="625"/>
      <c r="K74" s="626"/>
      <c r="L74" s="627"/>
      <c r="M74" s="623"/>
      <c r="N74" s="624"/>
      <c r="O74" s="625"/>
      <c r="P74" s="626"/>
      <c r="Q74" s="627"/>
      <c r="R74" s="623"/>
      <c r="S74" s="624"/>
      <c r="T74" s="630"/>
    </row>
    <row r="75" spans="3:20" ht="13.5" x14ac:dyDescent="0.2">
      <c r="C75" s="578"/>
      <c r="D75" s="477"/>
      <c r="E75" s="478"/>
      <c r="F75" s="476"/>
      <c r="G75" s="478"/>
      <c r="H75" s="529"/>
      <c r="I75" s="581"/>
      <c r="J75" s="530"/>
      <c r="K75" s="614"/>
      <c r="L75" s="615"/>
      <c r="M75" s="529"/>
      <c r="N75" s="581"/>
      <c r="O75" s="530"/>
      <c r="P75" s="614"/>
      <c r="Q75" s="615"/>
      <c r="R75" s="529"/>
      <c r="S75" s="581"/>
      <c r="T75" s="611"/>
    </row>
    <row r="76" spans="3:20" ht="13.5" x14ac:dyDescent="0.2">
      <c r="C76" s="578"/>
      <c r="D76" s="477"/>
      <c r="E76" s="478"/>
      <c r="F76" s="476"/>
      <c r="G76" s="478"/>
      <c r="H76" s="529"/>
      <c r="I76" s="581"/>
      <c r="J76" s="530"/>
      <c r="K76" s="614"/>
      <c r="L76" s="615"/>
      <c r="M76" s="529"/>
      <c r="N76" s="581"/>
      <c r="O76" s="530"/>
      <c r="P76" s="614"/>
      <c r="Q76" s="615"/>
      <c r="R76" s="529"/>
      <c r="S76" s="581"/>
      <c r="T76" s="611"/>
    </row>
    <row r="77" spans="3:20" ht="13.5" x14ac:dyDescent="0.2">
      <c r="C77" s="578"/>
      <c r="D77" s="477"/>
      <c r="E77" s="478"/>
      <c r="F77" s="476"/>
      <c r="G77" s="478"/>
      <c r="H77" s="529"/>
      <c r="I77" s="581"/>
      <c r="J77" s="530"/>
      <c r="K77" s="614"/>
      <c r="L77" s="615"/>
      <c r="M77" s="529"/>
      <c r="N77" s="581"/>
      <c r="O77" s="530"/>
      <c r="P77" s="614"/>
      <c r="Q77" s="615"/>
      <c r="R77" s="529"/>
      <c r="S77" s="581"/>
      <c r="T77" s="611"/>
    </row>
    <row r="78" spans="3:20" ht="13.5" x14ac:dyDescent="0.2">
      <c r="C78" s="578"/>
      <c r="D78" s="477"/>
      <c r="E78" s="478"/>
      <c r="F78" s="476"/>
      <c r="G78" s="478"/>
      <c r="H78" s="529"/>
      <c r="I78" s="581"/>
      <c r="J78" s="530"/>
      <c r="K78" s="614"/>
      <c r="L78" s="615"/>
      <c r="M78" s="529"/>
      <c r="N78" s="581"/>
      <c r="O78" s="530"/>
      <c r="P78" s="614"/>
      <c r="Q78" s="615"/>
      <c r="R78" s="529"/>
      <c r="S78" s="581"/>
      <c r="T78" s="611"/>
    </row>
    <row r="79" spans="3:20" ht="14.25" thickBot="1" x14ac:dyDescent="0.25">
      <c r="C79" s="633" t="s">
        <v>100</v>
      </c>
      <c r="D79" s="634"/>
      <c r="E79" s="634"/>
      <c r="F79" s="604"/>
      <c r="G79" s="605"/>
      <c r="H79" s="635"/>
      <c r="I79" s="636"/>
      <c r="J79" s="637"/>
      <c r="K79" s="638">
        <f>SUM(K74:K78)</f>
        <v>0</v>
      </c>
      <c r="L79" s="639"/>
      <c r="M79" s="518">
        <f>SUM(M74:M78)</f>
        <v>0</v>
      </c>
      <c r="N79" s="574"/>
      <c r="O79" s="519"/>
      <c r="P79" s="638">
        <f>SUM(P74:P78)</f>
        <v>0</v>
      </c>
      <c r="Q79" s="639"/>
      <c r="R79" s="518">
        <f>SUM(R74:R78)</f>
        <v>0</v>
      </c>
      <c r="S79" s="574"/>
      <c r="T79" s="601"/>
    </row>
    <row r="80" spans="3:20" ht="13.5" x14ac:dyDescent="0.2">
      <c r="C80" s="39"/>
      <c r="D80" s="39"/>
      <c r="E80" s="39"/>
      <c r="F80" s="43"/>
      <c r="G80" s="43"/>
      <c r="H80" s="35"/>
      <c r="I80" s="35"/>
      <c r="J80" s="35"/>
      <c r="K80" s="37"/>
      <c r="L80" s="37"/>
      <c r="M80" s="35"/>
      <c r="N80" s="35"/>
      <c r="O80" s="35"/>
      <c r="P80" s="37"/>
      <c r="Q80" s="37"/>
      <c r="R80" s="35"/>
      <c r="S80" s="35"/>
      <c r="T80" s="35"/>
    </row>
    <row r="81" spans="3:20" ht="14.25" thickBot="1" x14ac:dyDescent="0.25">
      <c r="C81" s="491" t="s">
        <v>128</v>
      </c>
      <c r="D81" s="491"/>
      <c r="E81" s="491"/>
      <c r="F81" s="491"/>
      <c r="G81" s="491"/>
      <c r="H81" s="491"/>
      <c r="I81" s="491"/>
      <c r="J81" s="21"/>
      <c r="K81" s="21"/>
      <c r="L81" s="21"/>
      <c r="M81" s="21"/>
      <c r="N81" s="21"/>
      <c r="O81" s="21"/>
      <c r="P81" s="21"/>
      <c r="Q81" s="27"/>
      <c r="R81" s="21"/>
      <c r="S81" s="27" t="s">
        <v>129</v>
      </c>
      <c r="T81" s="21"/>
    </row>
    <row r="82" spans="3:20" ht="13.5" x14ac:dyDescent="0.2">
      <c r="C82" s="631" t="s">
        <v>121</v>
      </c>
      <c r="D82" s="496"/>
      <c r="E82" s="497"/>
      <c r="F82" s="495" t="s">
        <v>122</v>
      </c>
      <c r="G82" s="497"/>
      <c r="H82" s="495" t="s">
        <v>130</v>
      </c>
      <c r="I82" s="496"/>
      <c r="J82" s="497"/>
      <c r="K82" s="492" t="s">
        <v>124</v>
      </c>
      <c r="L82" s="493"/>
      <c r="M82" s="493"/>
      <c r="N82" s="493"/>
      <c r="O82" s="494"/>
      <c r="P82" s="492" t="s">
        <v>125</v>
      </c>
      <c r="Q82" s="493"/>
      <c r="R82" s="493"/>
      <c r="S82" s="493"/>
      <c r="T82" s="603"/>
    </row>
    <row r="83" spans="3:20" ht="13.5" x14ac:dyDescent="0.2">
      <c r="C83" s="632"/>
      <c r="D83" s="499"/>
      <c r="E83" s="500"/>
      <c r="F83" s="498"/>
      <c r="G83" s="500"/>
      <c r="H83" s="498"/>
      <c r="I83" s="499"/>
      <c r="J83" s="500"/>
      <c r="K83" s="487" t="s">
        <v>126</v>
      </c>
      <c r="L83" s="486"/>
      <c r="M83" s="487" t="s">
        <v>127</v>
      </c>
      <c r="N83" s="488"/>
      <c r="O83" s="486"/>
      <c r="P83" s="487" t="s">
        <v>126</v>
      </c>
      <c r="Q83" s="486"/>
      <c r="R83" s="487" t="s">
        <v>127</v>
      </c>
      <c r="S83" s="488"/>
      <c r="T83" s="618"/>
    </row>
    <row r="84" spans="3:20" ht="13.5" x14ac:dyDescent="0.2">
      <c r="C84" s="619">
        <f>F15</f>
        <v>0</v>
      </c>
      <c r="D84" s="620"/>
      <c r="E84" s="621"/>
      <c r="F84" s="622"/>
      <c r="G84" s="621"/>
      <c r="H84" s="623"/>
      <c r="I84" s="624"/>
      <c r="J84" s="625"/>
      <c r="K84" s="626">
        <f>I15</f>
        <v>0</v>
      </c>
      <c r="L84" s="627"/>
      <c r="M84" s="623">
        <f>H84*K84/10</f>
        <v>0</v>
      </c>
      <c r="N84" s="624"/>
      <c r="O84" s="625"/>
      <c r="P84" s="628">
        <f>S15</f>
        <v>0</v>
      </c>
      <c r="Q84" s="629"/>
      <c r="R84" s="623">
        <f>H84*P84/10</f>
        <v>0</v>
      </c>
      <c r="S84" s="624"/>
      <c r="T84" s="630"/>
    </row>
    <row r="85" spans="3:20" ht="13.5" x14ac:dyDescent="0.2">
      <c r="C85" s="578">
        <f>F16</f>
        <v>0</v>
      </c>
      <c r="D85" s="477"/>
      <c r="E85" s="478"/>
      <c r="F85" s="476"/>
      <c r="G85" s="478"/>
      <c r="H85" s="529"/>
      <c r="I85" s="581"/>
      <c r="J85" s="530"/>
      <c r="K85" s="616">
        <f>I16</f>
        <v>0</v>
      </c>
      <c r="L85" s="617"/>
      <c r="M85" s="529">
        <f>H85*K85/10</f>
        <v>0</v>
      </c>
      <c r="N85" s="581"/>
      <c r="O85" s="530"/>
      <c r="P85" s="614">
        <f>S16</f>
        <v>0</v>
      </c>
      <c r="Q85" s="615"/>
      <c r="R85" s="529">
        <f>H85*P85/10</f>
        <v>0</v>
      </c>
      <c r="S85" s="581"/>
      <c r="T85" s="611"/>
    </row>
    <row r="86" spans="3:20" ht="13.5" x14ac:dyDescent="0.2">
      <c r="C86" s="578">
        <f>F17</f>
        <v>0</v>
      </c>
      <c r="D86" s="477"/>
      <c r="E86" s="478"/>
      <c r="F86" s="476"/>
      <c r="G86" s="478"/>
      <c r="H86" s="529"/>
      <c r="I86" s="581"/>
      <c r="J86" s="530"/>
      <c r="K86" s="614">
        <f>I17</f>
        <v>0</v>
      </c>
      <c r="L86" s="615"/>
      <c r="M86" s="529">
        <f>H86*K86/10</f>
        <v>0</v>
      </c>
      <c r="N86" s="581"/>
      <c r="O86" s="530"/>
      <c r="P86" s="614">
        <f>S17</f>
        <v>0</v>
      </c>
      <c r="Q86" s="615"/>
      <c r="R86" s="529">
        <f>H86*P86/10</f>
        <v>0</v>
      </c>
      <c r="S86" s="581"/>
      <c r="T86" s="611"/>
    </row>
    <row r="87" spans="3:20" ht="13.5" x14ac:dyDescent="0.2">
      <c r="C87" s="578"/>
      <c r="D87" s="477"/>
      <c r="E87" s="478"/>
      <c r="F87" s="476"/>
      <c r="G87" s="478"/>
      <c r="H87" s="526"/>
      <c r="I87" s="612"/>
      <c r="J87" s="613"/>
      <c r="K87" s="614"/>
      <c r="L87" s="615"/>
      <c r="M87" s="529"/>
      <c r="N87" s="581"/>
      <c r="O87" s="530"/>
      <c r="P87" s="614"/>
      <c r="Q87" s="615"/>
      <c r="R87" s="529"/>
      <c r="S87" s="581"/>
      <c r="T87" s="611"/>
    </row>
    <row r="88" spans="3:20" ht="13.5" x14ac:dyDescent="0.2">
      <c r="C88" s="578"/>
      <c r="D88" s="477"/>
      <c r="E88" s="478"/>
      <c r="F88" s="476"/>
      <c r="G88" s="478"/>
      <c r="H88" s="529"/>
      <c r="I88" s="581"/>
      <c r="J88" s="530"/>
      <c r="K88" s="614"/>
      <c r="L88" s="615"/>
      <c r="M88" s="529"/>
      <c r="N88" s="581"/>
      <c r="O88" s="530"/>
      <c r="P88" s="614"/>
      <c r="Q88" s="615"/>
      <c r="R88" s="529"/>
      <c r="S88" s="581"/>
      <c r="T88" s="611"/>
    </row>
    <row r="89" spans="3:20" ht="14.25" thickBot="1" x14ac:dyDescent="0.25">
      <c r="C89" s="479" t="s">
        <v>100</v>
      </c>
      <c r="D89" s="482"/>
      <c r="E89" s="480"/>
      <c r="F89" s="604"/>
      <c r="G89" s="605"/>
      <c r="H89" s="606"/>
      <c r="I89" s="607"/>
      <c r="J89" s="608"/>
      <c r="K89" s="609"/>
      <c r="L89" s="610"/>
      <c r="M89" s="518">
        <f>SUM(M84:M88)</f>
        <v>0</v>
      </c>
      <c r="N89" s="574"/>
      <c r="O89" s="519"/>
      <c r="P89" s="609"/>
      <c r="Q89" s="610"/>
      <c r="R89" s="518">
        <f>SUM(R84:R88)</f>
        <v>0</v>
      </c>
      <c r="S89" s="574"/>
      <c r="T89" s="601"/>
    </row>
    <row r="90" spans="3:20" ht="13.5" x14ac:dyDescent="0.2">
      <c r="C90" s="39"/>
      <c r="D90" s="39"/>
      <c r="E90" s="39"/>
      <c r="F90" s="43"/>
      <c r="G90" s="43"/>
      <c r="H90" s="38"/>
      <c r="I90" s="38"/>
      <c r="J90" s="38"/>
      <c r="K90" s="37"/>
      <c r="L90" s="37"/>
      <c r="M90" s="35"/>
      <c r="N90" s="35"/>
      <c r="O90" s="35"/>
      <c r="P90" s="37"/>
      <c r="Q90" s="37"/>
      <c r="R90" s="35"/>
      <c r="S90" s="35"/>
      <c r="T90" s="35"/>
    </row>
    <row r="91" spans="3:20" ht="14.25" thickBot="1" x14ac:dyDescent="0.25">
      <c r="C91" s="491" t="s">
        <v>131</v>
      </c>
      <c r="D91" s="491"/>
      <c r="E91" s="491"/>
      <c r="F91" s="491"/>
      <c r="G91" s="491"/>
      <c r="H91" s="491"/>
      <c r="I91" s="491"/>
      <c r="J91" s="28"/>
      <c r="K91" s="21"/>
      <c r="L91" s="21"/>
      <c r="M91" s="21"/>
      <c r="N91" s="21"/>
      <c r="O91" s="21"/>
      <c r="P91" s="21"/>
      <c r="Q91" s="27"/>
      <c r="R91" s="21"/>
      <c r="S91" s="27" t="s">
        <v>129</v>
      </c>
      <c r="T91" s="21"/>
    </row>
    <row r="92" spans="3:20" ht="13.5" x14ac:dyDescent="0.2">
      <c r="C92" s="602" t="s">
        <v>132</v>
      </c>
      <c r="D92" s="493"/>
      <c r="E92" s="493"/>
      <c r="F92" s="493"/>
      <c r="G92" s="494"/>
      <c r="H92" s="492" t="s">
        <v>133</v>
      </c>
      <c r="I92" s="494"/>
      <c r="J92" s="492" t="s">
        <v>134</v>
      </c>
      <c r="K92" s="493"/>
      <c r="L92" s="493"/>
      <c r="M92" s="494"/>
      <c r="N92" s="492" t="s">
        <v>135</v>
      </c>
      <c r="O92" s="493"/>
      <c r="P92" s="493"/>
      <c r="Q92" s="494"/>
      <c r="R92" s="492" t="s">
        <v>136</v>
      </c>
      <c r="S92" s="493"/>
      <c r="T92" s="603"/>
    </row>
    <row r="93" spans="3:20" ht="13.5" x14ac:dyDescent="0.2">
      <c r="C93" s="552"/>
      <c r="D93" s="592"/>
      <c r="E93" s="592"/>
      <c r="F93" s="592"/>
      <c r="G93" s="553"/>
      <c r="H93" s="593" t="s">
        <v>160</v>
      </c>
      <c r="I93" s="594"/>
      <c r="J93" s="560"/>
      <c r="K93" s="592"/>
      <c r="L93" s="592"/>
      <c r="M93" s="553"/>
      <c r="N93" s="556"/>
      <c r="O93" s="595"/>
      <c r="P93" s="595"/>
      <c r="Q93" s="29" t="s">
        <v>137</v>
      </c>
      <c r="R93" s="596"/>
      <c r="S93" s="597"/>
      <c r="T93" s="598"/>
    </row>
    <row r="94" spans="3:20" ht="13.5" x14ac:dyDescent="0.2">
      <c r="C94" s="599"/>
      <c r="D94" s="600"/>
      <c r="E94" s="600"/>
      <c r="F94" s="600"/>
      <c r="G94" s="548"/>
      <c r="H94" s="586" t="s">
        <v>161</v>
      </c>
      <c r="I94" s="587"/>
      <c r="J94" s="541"/>
      <c r="K94" s="585"/>
      <c r="L94" s="585"/>
      <c r="M94" s="539"/>
      <c r="N94" s="542"/>
      <c r="O94" s="588"/>
      <c r="P94" s="588"/>
      <c r="Q94" s="30" t="s">
        <v>137</v>
      </c>
      <c r="R94" s="589"/>
      <c r="S94" s="590"/>
      <c r="T94" s="591"/>
    </row>
    <row r="95" spans="3:20" ht="13.5" x14ac:dyDescent="0.2">
      <c r="C95" s="538"/>
      <c r="D95" s="585"/>
      <c r="E95" s="585"/>
      <c r="F95" s="585"/>
      <c r="G95" s="539"/>
      <c r="H95" s="586" t="s">
        <v>160</v>
      </c>
      <c r="I95" s="587"/>
      <c r="J95" s="541"/>
      <c r="K95" s="585"/>
      <c r="L95" s="585"/>
      <c r="M95" s="539"/>
      <c r="N95" s="542"/>
      <c r="O95" s="588"/>
      <c r="P95" s="588"/>
      <c r="Q95" s="30" t="s">
        <v>137</v>
      </c>
      <c r="R95" s="589"/>
      <c r="S95" s="590"/>
      <c r="T95" s="591"/>
    </row>
    <row r="96" spans="3:20" ht="13.5" x14ac:dyDescent="0.2">
      <c r="C96" s="578"/>
      <c r="D96" s="477"/>
      <c r="E96" s="477"/>
      <c r="F96" s="477"/>
      <c r="G96" s="478"/>
      <c r="H96" s="579" t="s">
        <v>162</v>
      </c>
      <c r="I96" s="580"/>
      <c r="J96" s="476"/>
      <c r="K96" s="477"/>
      <c r="L96" s="477"/>
      <c r="M96" s="478"/>
      <c r="N96" s="529"/>
      <c r="O96" s="581"/>
      <c r="P96" s="581"/>
      <c r="Q96" s="103" t="s">
        <v>137</v>
      </c>
      <c r="R96" s="582"/>
      <c r="S96" s="583"/>
      <c r="T96" s="584"/>
    </row>
    <row r="97" spans="3:20" ht="13.5" x14ac:dyDescent="0.2">
      <c r="C97" s="578"/>
      <c r="D97" s="477"/>
      <c r="E97" s="477"/>
      <c r="F97" s="477"/>
      <c r="G97" s="478"/>
      <c r="H97" s="579" t="s">
        <v>138</v>
      </c>
      <c r="I97" s="580"/>
      <c r="J97" s="476"/>
      <c r="K97" s="477"/>
      <c r="L97" s="477"/>
      <c r="M97" s="478"/>
      <c r="N97" s="529"/>
      <c r="O97" s="581"/>
      <c r="P97" s="581"/>
      <c r="Q97" s="103" t="s">
        <v>137</v>
      </c>
      <c r="R97" s="582"/>
      <c r="S97" s="583"/>
      <c r="T97" s="584"/>
    </row>
    <row r="98" spans="3:20" ht="13.5" x14ac:dyDescent="0.2">
      <c r="C98" s="578"/>
      <c r="D98" s="477"/>
      <c r="E98" s="477"/>
      <c r="F98" s="477"/>
      <c r="G98" s="478"/>
      <c r="H98" s="579" t="s">
        <v>138</v>
      </c>
      <c r="I98" s="580"/>
      <c r="J98" s="476"/>
      <c r="K98" s="477"/>
      <c r="L98" s="477"/>
      <c r="M98" s="478"/>
      <c r="N98" s="529"/>
      <c r="O98" s="581"/>
      <c r="P98" s="581"/>
      <c r="Q98" s="103" t="s">
        <v>137</v>
      </c>
      <c r="R98" s="582"/>
      <c r="S98" s="583"/>
      <c r="T98" s="584"/>
    </row>
    <row r="99" spans="3:20" ht="13.5" x14ac:dyDescent="0.2">
      <c r="C99" s="565"/>
      <c r="D99" s="566"/>
      <c r="E99" s="566"/>
      <c r="F99" s="566"/>
      <c r="G99" s="535"/>
      <c r="H99" s="567" t="s">
        <v>138</v>
      </c>
      <c r="I99" s="568"/>
      <c r="J99" s="534"/>
      <c r="K99" s="566"/>
      <c r="L99" s="566"/>
      <c r="M99" s="535"/>
      <c r="N99" s="536"/>
      <c r="O99" s="569"/>
      <c r="P99" s="569"/>
      <c r="Q99" s="31" t="s">
        <v>137</v>
      </c>
      <c r="R99" s="570"/>
      <c r="S99" s="571"/>
      <c r="T99" s="572"/>
    </row>
    <row r="100" spans="3:20" ht="14.25" thickBot="1" x14ac:dyDescent="0.25">
      <c r="C100" s="479" t="s">
        <v>100</v>
      </c>
      <c r="D100" s="482"/>
      <c r="E100" s="482"/>
      <c r="F100" s="482"/>
      <c r="G100" s="480"/>
      <c r="H100" s="516"/>
      <c r="I100" s="517"/>
      <c r="J100" s="516"/>
      <c r="K100" s="573"/>
      <c r="L100" s="573"/>
      <c r="M100" s="517"/>
      <c r="N100" s="518">
        <f>SUM(N93:P99)</f>
        <v>0</v>
      </c>
      <c r="O100" s="574"/>
      <c r="P100" s="574"/>
      <c r="Q100" s="44" t="s">
        <v>137</v>
      </c>
      <c r="R100" s="575"/>
      <c r="S100" s="576"/>
      <c r="T100" s="577"/>
    </row>
    <row r="101" spans="3:20" ht="13.5" x14ac:dyDescent="0.2"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5"/>
      <c r="O101" s="35"/>
      <c r="P101" s="35"/>
      <c r="Q101" s="38"/>
      <c r="R101" s="40"/>
      <c r="S101" s="40"/>
      <c r="T101" s="40"/>
    </row>
    <row r="102" spans="3:20" ht="14.25" thickBot="1" x14ac:dyDescent="0.25">
      <c r="C102" s="491" t="s">
        <v>355</v>
      </c>
      <c r="D102" s="491"/>
      <c r="E102" s="491"/>
      <c r="F102" s="491"/>
      <c r="G102" s="491"/>
      <c r="H102" s="491"/>
      <c r="I102" s="491"/>
      <c r="J102" s="491"/>
      <c r="K102" s="491"/>
      <c r="L102" s="491"/>
      <c r="M102" s="21"/>
      <c r="N102" s="21"/>
      <c r="O102" s="21"/>
      <c r="P102" s="21"/>
      <c r="Q102" s="27"/>
      <c r="R102" s="21"/>
      <c r="S102" s="27" t="s">
        <v>139</v>
      </c>
      <c r="T102" s="21"/>
    </row>
    <row r="103" spans="3:20" x14ac:dyDescent="0.2">
      <c r="C103" s="562" t="s">
        <v>140</v>
      </c>
      <c r="D103" s="550"/>
      <c r="E103" s="549" t="s">
        <v>141</v>
      </c>
      <c r="F103" s="550"/>
      <c r="G103" s="549" t="s">
        <v>134</v>
      </c>
      <c r="H103" s="550"/>
      <c r="I103" s="549" t="s">
        <v>142</v>
      </c>
      <c r="J103" s="550"/>
      <c r="K103" s="563" t="s">
        <v>143</v>
      </c>
      <c r="L103" s="564"/>
      <c r="M103" s="549" t="s">
        <v>144</v>
      </c>
      <c r="N103" s="550"/>
      <c r="O103" s="549" t="s">
        <v>145</v>
      </c>
      <c r="P103" s="550"/>
      <c r="Q103" s="549" t="s">
        <v>146</v>
      </c>
      <c r="R103" s="550"/>
      <c r="S103" s="549" t="s">
        <v>147</v>
      </c>
      <c r="T103" s="551"/>
    </row>
    <row r="104" spans="3:20" ht="13.5" x14ac:dyDescent="0.2">
      <c r="C104" s="552"/>
      <c r="D104" s="553"/>
      <c r="E104" s="554"/>
      <c r="F104" s="555"/>
      <c r="G104" s="541"/>
      <c r="H104" s="539"/>
      <c r="I104" s="541" t="s">
        <v>148</v>
      </c>
      <c r="J104" s="539"/>
      <c r="K104" s="542"/>
      <c r="L104" s="543"/>
      <c r="M104" s="541" t="s">
        <v>148</v>
      </c>
      <c r="N104" s="539"/>
      <c r="O104" s="556"/>
      <c r="P104" s="557"/>
      <c r="Q104" s="558"/>
      <c r="R104" s="559"/>
      <c r="S104" s="560"/>
      <c r="T104" s="561"/>
    </row>
    <row r="105" spans="3:20" ht="13.5" x14ac:dyDescent="0.2">
      <c r="C105" s="538"/>
      <c r="D105" s="539"/>
      <c r="E105" s="541"/>
      <c r="F105" s="539"/>
      <c r="G105" s="541"/>
      <c r="H105" s="539"/>
      <c r="I105" s="541" t="s">
        <v>148</v>
      </c>
      <c r="J105" s="539"/>
      <c r="K105" s="542"/>
      <c r="L105" s="543"/>
      <c r="M105" s="541" t="s">
        <v>148</v>
      </c>
      <c r="N105" s="539"/>
      <c r="O105" s="542"/>
      <c r="P105" s="543"/>
      <c r="Q105" s="545"/>
      <c r="R105" s="546"/>
      <c r="S105" s="541"/>
      <c r="T105" s="544"/>
    </row>
    <row r="106" spans="3:20" ht="13.5" x14ac:dyDescent="0.2">
      <c r="C106" s="538"/>
      <c r="D106" s="539"/>
      <c r="E106" s="541"/>
      <c r="F106" s="539"/>
      <c r="G106" s="547"/>
      <c r="H106" s="548"/>
      <c r="I106" s="541" t="s">
        <v>148</v>
      </c>
      <c r="J106" s="539"/>
      <c r="K106" s="542"/>
      <c r="L106" s="543"/>
      <c r="M106" s="541" t="s">
        <v>148</v>
      </c>
      <c r="N106" s="539"/>
      <c r="O106" s="542"/>
      <c r="P106" s="543"/>
      <c r="Q106" s="541"/>
      <c r="R106" s="539"/>
      <c r="S106" s="541"/>
      <c r="T106" s="544"/>
    </row>
    <row r="107" spans="3:20" ht="13.5" x14ac:dyDescent="0.2">
      <c r="C107" s="538"/>
      <c r="D107" s="539"/>
      <c r="E107" s="541"/>
      <c r="F107" s="539"/>
      <c r="G107" s="541"/>
      <c r="H107" s="539"/>
      <c r="I107" s="541" t="s">
        <v>148</v>
      </c>
      <c r="J107" s="539"/>
      <c r="K107" s="542"/>
      <c r="L107" s="543"/>
      <c r="M107" s="541" t="s">
        <v>148</v>
      </c>
      <c r="N107" s="539"/>
      <c r="O107" s="542"/>
      <c r="P107" s="543"/>
      <c r="Q107" s="545"/>
      <c r="R107" s="546"/>
      <c r="S107" s="541"/>
      <c r="T107" s="544"/>
    </row>
    <row r="108" spans="3:20" ht="13.5" x14ac:dyDescent="0.2">
      <c r="C108" s="538"/>
      <c r="D108" s="539"/>
      <c r="E108" s="541"/>
      <c r="F108" s="539"/>
      <c r="G108" s="541"/>
      <c r="H108" s="539"/>
      <c r="I108" s="541" t="s">
        <v>148</v>
      </c>
      <c r="J108" s="539"/>
      <c r="K108" s="542"/>
      <c r="L108" s="543"/>
      <c r="M108" s="541" t="s">
        <v>148</v>
      </c>
      <c r="N108" s="539"/>
      <c r="O108" s="542"/>
      <c r="P108" s="543"/>
      <c r="Q108" s="541"/>
      <c r="R108" s="539"/>
      <c r="S108" s="541"/>
      <c r="T108" s="544"/>
    </row>
    <row r="109" spans="3:20" ht="13.5" x14ac:dyDescent="0.2">
      <c r="C109" s="538"/>
      <c r="D109" s="539"/>
      <c r="E109" s="541"/>
      <c r="F109" s="539"/>
      <c r="G109" s="541"/>
      <c r="H109" s="539"/>
      <c r="I109" s="541" t="s">
        <v>148</v>
      </c>
      <c r="J109" s="539"/>
      <c r="K109" s="542"/>
      <c r="L109" s="543"/>
      <c r="M109" s="541" t="s">
        <v>148</v>
      </c>
      <c r="N109" s="539"/>
      <c r="O109" s="542"/>
      <c r="P109" s="543"/>
      <c r="Q109" s="541"/>
      <c r="R109" s="539"/>
      <c r="S109" s="541"/>
      <c r="T109" s="544"/>
    </row>
    <row r="110" spans="3:20" ht="13.5" x14ac:dyDescent="0.2">
      <c r="C110" s="538"/>
      <c r="D110" s="539"/>
      <c r="E110" s="541"/>
      <c r="F110" s="539"/>
      <c r="G110" s="541"/>
      <c r="H110" s="539"/>
      <c r="I110" s="541" t="s">
        <v>148</v>
      </c>
      <c r="J110" s="539"/>
      <c r="K110" s="542"/>
      <c r="L110" s="543"/>
      <c r="M110" s="541" t="s">
        <v>148</v>
      </c>
      <c r="N110" s="539"/>
      <c r="O110" s="542"/>
      <c r="P110" s="543"/>
      <c r="Q110" s="541"/>
      <c r="R110" s="539"/>
      <c r="S110" s="541"/>
      <c r="T110" s="544"/>
    </row>
    <row r="111" spans="3:20" ht="13.5" x14ac:dyDescent="0.2">
      <c r="C111" s="538"/>
      <c r="D111" s="539"/>
      <c r="E111" s="541"/>
      <c r="F111" s="539"/>
      <c r="G111" s="541"/>
      <c r="H111" s="539"/>
      <c r="I111" s="541" t="s">
        <v>148</v>
      </c>
      <c r="J111" s="539"/>
      <c r="K111" s="542"/>
      <c r="L111" s="543"/>
      <c r="M111" s="541" t="s">
        <v>148</v>
      </c>
      <c r="N111" s="539"/>
      <c r="O111" s="542"/>
      <c r="P111" s="543"/>
      <c r="Q111" s="541"/>
      <c r="R111" s="539"/>
      <c r="S111" s="541"/>
      <c r="T111" s="544"/>
    </row>
    <row r="112" spans="3:20" ht="13.5" x14ac:dyDescent="0.2">
      <c r="C112" s="538"/>
      <c r="D112" s="539"/>
      <c r="E112" s="476"/>
      <c r="F112" s="478"/>
      <c r="G112" s="476"/>
      <c r="H112" s="478"/>
      <c r="I112" s="476" t="s">
        <v>148</v>
      </c>
      <c r="J112" s="478"/>
      <c r="K112" s="529"/>
      <c r="L112" s="530"/>
      <c r="M112" s="476" t="s">
        <v>148</v>
      </c>
      <c r="N112" s="478"/>
      <c r="O112" s="529"/>
      <c r="P112" s="530"/>
      <c r="Q112" s="476"/>
      <c r="R112" s="478"/>
      <c r="S112" s="476"/>
      <c r="T112" s="531"/>
    </row>
    <row r="113" spans="3:20" ht="13.5" x14ac:dyDescent="0.2">
      <c r="C113" s="532"/>
      <c r="D113" s="533"/>
      <c r="E113" s="534"/>
      <c r="F113" s="535"/>
      <c r="G113" s="534"/>
      <c r="H113" s="535"/>
      <c r="I113" s="534" t="s">
        <v>148</v>
      </c>
      <c r="J113" s="535"/>
      <c r="K113" s="536"/>
      <c r="L113" s="537"/>
      <c r="M113" s="534" t="s">
        <v>148</v>
      </c>
      <c r="N113" s="535"/>
      <c r="O113" s="536"/>
      <c r="P113" s="537"/>
      <c r="Q113" s="534"/>
      <c r="R113" s="535"/>
      <c r="S113" s="534"/>
      <c r="T113" s="540"/>
    </row>
    <row r="114" spans="3:20" ht="14.25" thickBot="1" x14ac:dyDescent="0.25">
      <c r="C114" s="479" t="s">
        <v>100</v>
      </c>
      <c r="D114" s="482"/>
      <c r="E114" s="482"/>
      <c r="F114" s="482"/>
      <c r="G114" s="482"/>
      <c r="H114" s="480"/>
      <c r="I114" s="516"/>
      <c r="J114" s="517"/>
      <c r="K114" s="518">
        <f>SUM(K104:L113)</f>
        <v>0</v>
      </c>
      <c r="L114" s="519"/>
      <c r="M114" s="516"/>
      <c r="N114" s="517"/>
      <c r="O114" s="518">
        <f>SUM(O104:P113)</f>
        <v>0</v>
      </c>
      <c r="P114" s="519"/>
      <c r="Q114" s="516"/>
      <c r="R114" s="517"/>
      <c r="S114" s="516"/>
      <c r="T114" s="520"/>
    </row>
    <row r="115" spans="3:20" ht="13.5" x14ac:dyDescent="0.2">
      <c r="C115" s="39"/>
      <c r="D115" s="39"/>
      <c r="E115" s="39"/>
      <c r="F115" s="39"/>
      <c r="G115" s="39"/>
      <c r="H115" s="39"/>
      <c r="I115" s="39"/>
      <c r="J115" s="39"/>
      <c r="K115" s="35"/>
      <c r="L115" s="35"/>
      <c r="M115" s="39"/>
      <c r="N115" s="39"/>
      <c r="O115" s="35"/>
      <c r="P115" s="35"/>
      <c r="Q115" s="39"/>
      <c r="R115" s="39"/>
      <c r="S115" s="39"/>
      <c r="T115" s="39"/>
    </row>
    <row r="116" spans="3:20" ht="14.25" thickBot="1" x14ac:dyDescent="0.25">
      <c r="C116" s="491" t="s">
        <v>321</v>
      </c>
      <c r="D116" s="491"/>
      <c r="E116" s="491"/>
      <c r="F116" s="491"/>
      <c r="G116" s="491"/>
      <c r="H116" s="491"/>
      <c r="I116" s="491"/>
      <c r="J116" s="21"/>
      <c r="K116" s="21"/>
      <c r="L116" s="21"/>
      <c r="M116" s="21"/>
      <c r="N116" s="21"/>
      <c r="O116" s="21"/>
      <c r="P116" s="21"/>
      <c r="Q116" s="27"/>
      <c r="R116" s="21"/>
      <c r="S116" s="27"/>
      <c r="T116" s="21"/>
    </row>
    <row r="117" spans="3:20" ht="13.5" customHeight="1" x14ac:dyDescent="0.2">
      <c r="C117" s="631" t="s">
        <v>323</v>
      </c>
      <c r="D117" s="496"/>
      <c r="E117" s="497"/>
      <c r="F117" s="492" t="s">
        <v>124</v>
      </c>
      <c r="G117" s="493"/>
      <c r="H117" s="493"/>
      <c r="I117" s="494"/>
      <c r="J117" s="492" t="s">
        <v>125</v>
      </c>
      <c r="K117" s="493"/>
      <c r="L117" s="493"/>
      <c r="M117" s="493"/>
      <c r="N117" s="495" t="s">
        <v>323</v>
      </c>
      <c r="O117" s="496"/>
      <c r="P117" s="497"/>
      <c r="Q117" s="492" t="s">
        <v>124</v>
      </c>
      <c r="R117" s="493"/>
      <c r="S117" s="493"/>
      <c r="T117" s="603"/>
    </row>
    <row r="118" spans="3:20" ht="19.5" customHeight="1" x14ac:dyDescent="0.2">
      <c r="C118" s="632"/>
      <c r="D118" s="499"/>
      <c r="E118" s="500"/>
      <c r="F118" s="513" t="s">
        <v>322</v>
      </c>
      <c r="G118" s="515"/>
      <c r="H118" s="487" t="s">
        <v>330</v>
      </c>
      <c r="I118" s="486"/>
      <c r="J118" s="513" t="s">
        <v>322</v>
      </c>
      <c r="K118" s="515"/>
      <c r="L118" s="487" t="s">
        <v>330</v>
      </c>
      <c r="M118" s="488"/>
      <c r="N118" s="498"/>
      <c r="O118" s="499"/>
      <c r="P118" s="500"/>
      <c r="Q118" s="513" t="s">
        <v>322</v>
      </c>
      <c r="R118" s="515"/>
      <c r="S118" s="487" t="s">
        <v>330</v>
      </c>
      <c r="T118" s="618"/>
    </row>
    <row r="119" spans="3:20" ht="13.5" x14ac:dyDescent="0.2">
      <c r="C119" s="619" t="s">
        <v>324</v>
      </c>
      <c r="D119" s="620"/>
      <c r="E119" s="621"/>
      <c r="F119" s="622"/>
      <c r="G119" s="621"/>
      <c r="H119" s="773"/>
      <c r="I119" s="778"/>
      <c r="J119" s="773"/>
      <c r="K119" s="778"/>
      <c r="L119" s="779"/>
      <c r="M119" s="780"/>
      <c r="N119" s="773" t="s">
        <v>332</v>
      </c>
      <c r="O119" s="777"/>
      <c r="P119" s="778"/>
      <c r="Q119" s="779"/>
      <c r="R119" s="780"/>
      <c r="S119" s="773"/>
      <c r="T119" s="774"/>
    </row>
    <row r="120" spans="3:20" ht="13.5" x14ac:dyDescent="0.2">
      <c r="C120" s="578" t="s">
        <v>325</v>
      </c>
      <c r="D120" s="477"/>
      <c r="E120" s="478"/>
      <c r="F120" s="476"/>
      <c r="G120" s="478"/>
      <c r="H120" s="526"/>
      <c r="I120" s="613"/>
      <c r="J120" s="526"/>
      <c r="K120" s="613"/>
      <c r="L120" s="781"/>
      <c r="M120" s="782"/>
      <c r="N120" s="526" t="s">
        <v>333</v>
      </c>
      <c r="O120" s="612"/>
      <c r="P120" s="613"/>
      <c r="Q120" s="775"/>
      <c r="R120" s="776"/>
      <c r="S120" s="526"/>
      <c r="T120" s="527"/>
    </row>
    <row r="121" spans="3:20" ht="13.5" x14ac:dyDescent="0.2">
      <c r="C121" s="578" t="s">
        <v>326</v>
      </c>
      <c r="D121" s="477"/>
      <c r="E121" s="478"/>
      <c r="F121" s="476"/>
      <c r="G121" s="478"/>
      <c r="H121" s="526"/>
      <c r="I121" s="613"/>
      <c r="J121" s="526"/>
      <c r="K121" s="613"/>
      <c r="L121" s="775"/>
      <c r="M121" s="776"/>
      <c r="N121" s="526" t="s">
        <v>331</v>
      </c>
      <c r="O121" s="612"/>
      <c r="P121" s="613"/>
      <c r="Q121" s="775"/>
      <c r="R121" s="776"/>
      <c r="S121" s="526"/>
      <c r="T121" s="527"/>
    </row>
    <row r="122" spans="3:20" ht="13.5" x14ac:dyDescent="0.2">
      <c r="C122" s="578" t="s">
        <v>327</v>
      </c>
      <c r="D122" s="477"/>
      <c r="E122" s="478"/>
      <c r="F122" s="476"/>
      <c r="G122" s="478"/>
      <c r="H122" s="526"/>
      <c r="I122" s="613"/>
      <c r="J122" s="526"/>
      <c r="K122" s="613"/>
      <c r="L122" s="775"/>
      <c r="M122" s="776"/>
      <c r="N122" s="526"/>
      <c r="O122" s="612"/>
      <c r="P122" s="613"/>
      <c r="Q122" s="775"/>
      <c r="R122" s="776"/>
      <c r="S122" s="526"/>
      <c r="T122" s="527"/>
    </row>
    <row r="123" spans="3:20" ht="13.5" x14ac:dyDescent="0.2">
      <c r="C123" s="578" t="s">
        <v>328</v>
      </c>
      <c r="D123" s="477"/>
      <c r="E123" s="478"/>
      <c r="F123" s="476"/>
      <c r="G123" s="478"/>
      <c r="H123" s="526"/>
      <c r="I123" s="613"/>
      <c r="J123" s="526"/>
      <c r="K123" s="613"/>
      <c r="L123" s="775"/>
      <c r="M123" s="776"/>
      <c r="N123" s="526"/>
      <c r="O123" s="612"/>
      <c r="P123" s="613"/>
      <c r="Q123" s="775"/>
      <c r="R123" s="776"/>
      <c r="S123" s="526"/>
      <c r="T123" s="527"/>
    </row>
    <row r="124" spans="3:20" ht="13.5" x14ac:dyDescent="0.2">
      <c r="C124" s="578" t="s">
        <v>329</v>
      </c>
      <c r="D124" s="477"/>
      <c r="E124" s="478"/>
      <c r="F124" s="476"/>
      <c r="G124" s="478"/>
      <c r="H124" s="526"/>
      <c r="I124" s="613"/>
      <c r="J124" s="526"/>
      <c r="K124" s="613"/>
      <c r="L124" s="775"/>
      <c r="M124" s="776"/>
      <c r="N124" s="526"/>
      <c r="O124" s="612"/>
      <c r="P124" s="613"/>
      <c r="Q124" s="775"/>
      <c r="R124" s="776"/>
      <c r="S124" s="526"/>
      <c r="T124" s="527"/>
    </row>
    <row r="125" spans="3:20" ht="14.25" thickBot="1" x14ac:dyDescent="0.25">
      <c r="C125" s="768"/>
      <c r="D125" s="769"/>
      <c r="E125" s="770"/>
      <c r="F125" s="771"/>
      <c r="G125" s="772"/>
      <c r="H125" s="521"/>
      <c r="I125" s="523"/>
      <c r="J125" s="521"/>
      <c r="K125" s="523"/>
      <c r="L125" s="524"/>
      <c r="M125" s="525"/>
      <c r="N125" s="521"/>
      <c r="O125" s="522"/>
      <c r="P125" s="523"/>
      <c r="Q125" s="524"/>
      <c r="R125" s="525"/>
      <c r="S125" s="521"/>
      <c r="T125" s="528"/>
    </row>
    <row r="126" spans="3:20" ht="13.5" x14ac:dyDescent="0.2">
      <c r="C126" s="39"/>
      <c r="D126" s="39"/>
      <c r="E126" s="39"/>
      <c r="F126" s="39"/>
      <c r="G126" s="39"/>
      <c r="H126" s="39"/>
      <c r="I126" s="39"/>
      <c r="J126" s="39"/>
      <c r="K126" s="35"/>
      <c r="L126" s="35"/>
      <c r="M126" s="39"/>
      <c r="N126" s="39"/>
      <c r="O126" s="35"/>
      <c r="P126" s="35"/>
      <c r="Q126" s="39"/>
      <c r="R126" s="39"/>
      <c r="S126" s="39"/>
      <c r="T126" s="39"/>
    </row>
    <row r="127" spans="3:20" ht="14.25" thickBot="1" x14ac:dyDescent="0.25">
      <c r="C127" s="491" t="s">
        <v>334</v>
      </c>
      <c r="D127" s="491"/>
      <c r="E127" s="491"/>
      <c r="F127" s="491"/>
      <c r="G127" s="491"/>
      <c r="H127" s="491"/>
      <c r="I127" s="49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3:20" ht="13.5" customHeight="1" x14ac:dyDescent="0.2">
      <c r="C128" s="104"/>
      <c r="D128" s="101" t="s">
        <v>149</v>
      </c>
      <c r="E128" s="492" t="s">
        <v>150</v>
      </c>
      <c r="F128" s="493"/>
      <c r="G128" s="493"/>
      <c r="H128" s="493"/>
      <c r="I128" s="493"/>
      <c r="J128" s="493"/>
      <c r="K128" s="493"/>
      <c r="L128" s="493"/>
      <c r="M128" s="494"/>
      <c r="N128" s="495" t="s">
        <v>151</v>
      </c>
      <c r="O128" s="496"/>
      <c r="P128" s="497"/>
      <c r="Q128" s="501" t="s">
        <v>347</v>
      </c>
      <c r="R128" s="502"/>
      <c r="S128" s="502"/>
      <c r="T128" s="503"/>
    </row>
    <row r="129" spans="3:20" ht="13.5" x14ac:dyDescent="0.2">
      <c r="C129" s="105" t="s">
        <v>152</v>
      </c>
      <c r="D129" s="102"/>
      <c r="E129" s="507" t="s">
        <v>159</v>
      </c>
      <c r="F129" s="508"/>
      <c r="G129" s="509"/>
      <c r="H129" s="510" t="s">
        <v>158</v>
      </c>
      <c r="I129" s="511"/>
      <c r="J129" s="512"/>
      <c r="K129" s="513" t="s">
        <v>153</v>
      </c>
      <c r="L129" s="514"/>
      <c r="M129" s="515"/>
      <c r="N129" s="498"/>
      <c r="O129" s="499"/>
      <c r="P129" s="500"/>
      <c r="Q129" s="504"/>
      <c r="R129" s="505"/>
      <c r="S129" s="505"/>
      <c r="T129" s="506"/>
    </row>
    <row r="130" spans="3:20" ht="13.5" x14ac:dyDescent="0.2">
      <c r="C130" s="485" t="s">
        <v>154</v>
      </c>
      <c r="D130" s="486"/>
      <c r="E130" s="487" t="s">
        <v>155</v>
      </c>
      <c r="F130" s="488"/>
      <c r="G130" s="486"/>
      <c r="H130" s="487" t="s">
        <v>155</v>
      </c>
      <c r="I130" s="488"/>
      <c r="J130" s="486"/>
      <c r="K130" s="487" t="s">
        <v>155</v>
      </c>
      <c r="L130" s="488"/>
      <c r="M130" s="486"/>
      <c r="N130" s="487" t="s">
        <v>155</v>
      </c>
      <c r="O130" s="488"/>
      <c r="P130" s="486"/>
      <c r="Q130" s="489" t="s">
        <v>155</v>
      </c>
      <c r="R130" s="489"/>
      <c r="S130" s="489"/>
      <c r="T130" s="490"/>
    </row>
    <row r="131" spans="3:20" ht="14.25" thickBot="1" x14ac:dyDescent="0.25">
      <c r="C131" s="479" t="s">
        <v>156</v>
      </c>
      <c r="D131" s="480"/>
      <c r="E131" s="481" t="s">
        <v>155</v>
      </c>
      <c r="F131" s="482"/>
      <c r="G131" s="480"/>
      <c r="H131" s="481" t="s">
        <v>155</v>
      </c>
      <c r="I131" s="482"/>
      <c r="J131" s="480"/>
      <c r="K131" s="481" t="s">
        <v>155</v>
      </c>
      <c r="L131" s="482"/>
      <c r="M131" s="480"/>
      <c r="N131" s="481" t="s">
        <v>155</v>
      </c>
      <c r="O131" s="482"/>
      <c r="P131" s="480"/>
      <c r="Q131" s="483" t="s">
        <v>157</v>
      </c>
      <c r="R131" s="483"/>
      <c r="S131" s="483"/>
      <c r="T131" s="484"/>
    </row>
  </sheetData>
  <mergeCells count="684">
    <mergeCell ref="J125:K125"/>
    <mergeCell ref="L123:M123"/>
    <mergeCell ref="H125:I125"/>
    <mergeCell ref="L125:M125"/>
    <mergeCell ref="N124:P124"/>
    <mergeCell ref="Q119:R119"/>
    <mergeCell ref="Q120:R120"/>
    <mergeCell ref="Q121:R121"/>
    <mergeCell ref="Q122:R122"/>
    <mergeCell ref="Q123:R123"/>
    <mergeCell ref="H119:I119"/>
    <mergeCell ref="H120:I120"/>
    <mergeCell ref="H121:I121"/>
    <mergeCell ref="H122:I122"/>
    <mergeCell ref="H123:I123"/>
    <mergeCell ref="H124:I124"/>
    <mergeCell ref="J119:K119"/>
    <mergeCell ref="J121:K121"/>
    <mergeCell ref="J120:K120"/>
    <mergeCell ref="L119:M119"/>
    <mergeCell ref="L120:M120"/>
    <mergeCell ref="L121:M121"/>
    <mergeCell ref="L122:M122"/>
    <mergeCell ref="L124:M124"/>
    <mergeCell ref="H118:I118"/>
    <mergeCell ref="J118:K118"/>
    <mergeCell ref="L118:M118"/>
    <mergeCell ref="S119:T119"/>
    <mergeCell ref="S120:T120"/>
    <mergeCell ref="S121:T121"/>
    <mergeCell ref="S122:T122"/>
    <mergeCell ref="S123:T123"/>
    <mergeCell ref="Q124:R124"/>
    <mergeCell ref="J122:K122"/>
    <mergeCell ref="J123:K123"/>
    <mergeCell ref="J124:K124"/>
    <mergeCell ref="N117:P118"/>
    <mergeCell ref="Q118:R118"/>
    <mergeCell ref="S118:T118"/>
    <mergeCell ref="N119:P119"/>
    <mergeCell ref="N120:P120"/>
    <mergeCell ref="N121:P121"/>
    <mergeCell ref="N122:P122"/>
    <mergeCell ref="N123:P123"/>
    <mergeCell ref="Q117:T117"/>
    <mergeCell ref="C124:E124"/>
    <mergeCell ref="F124:G124"/>
    <mergeCell ref="C125:E125"/>
    <mergeCell ref="F125:G125"/>
    <mergeCell ref="C121:E121"/>
    <mergeCell ref="F121:G121"/>
    <mergeCell ref="C122:E122"/>
    <mergeCell ref="F122:G122"/>
    <mergeCell ref="C119:E119"/>
    <mergeCell ref="F119:G119"/>
    <mergeCell ref="C120:E120"/>
    <mergeCell ref="F120:G120"/>
    <mergeCell ref="C123:E123"/>
    <mergeCell ref="F123:G123"/>
    <mergeCell ref="C116:I116"/>
    <mergeCell ref="C117:E118"/>
    <mergeCell ref="F118:G118"/>
    <mergeCell ref="F117:I117"/>
    <mergeCell ref="J117:M117"/>
    <mergeCell ref="C3:I3"/>
    <mergeCell ref="C4:H4"/>
    <mergeCell ref="I4:J4"/>
    <mergeCell ref="K4:L4"/>
    <mergeCell ref="M4:N4"/>
    <mergeCell ref="M14:N14"/>
    <mergeCell ref="D29:F29"/>
    <mergeCell ref="D41:F41"/>
    <mergeCell ref="L52:N52"/>
    <mergeCell ref="D56:E56"/>
    <mergeCell ref="F56:G56"/>
    <mergeCell ref="H56:I56"/>
    <mergeCell ref="J56:K56"/>
    <mergeCell ref="L56:N56"/>
    <mergeCell ref="F61:G61"/>
    <mergeCell ref="H61:I61"/>
    <mergeCell ref="J61:K61"/>
    <mergeCell ref="L61:N61"/>
    <mergeCell ref="L63:N63"/>
    <mergeCell ref="O4:P4"/>
    <mergeCell ref="Q4:R4"/>
    <mergeCell ref="S4:T4"/>
    <mergeCell ref="C5:D17"/>
    <mergeCell ref="E5:F11"/>
    <mergeCell ref="G5:H5"/>
    <mergeCell ref="I5:J5"/>
    <mergeCell ref="K5:L5"/>
    <mergeCell ref="M5:N5"/>
    <mergeCell ref="O5:P5"/>
    <mergeCell ref="Q5:R5"/>
    <mergeCell ref="S5:T5"/>
    <mergeCell ref="G6:H6"/>
    <mergeCell ref="I6:J6"/>
    <mergeCell ref="K6:L6"/>
    <mergeCell ref="M6:N6"/>
    <mergeCell ref="O6:P6"/>
    <mergeCell ref="Q6:R6"/>
    <mergeCell ref="S6:T6"/>
    <mergeCell ref="S7:T7"/>
    <mergeCell ref="G8:H8"/>
    <mergeCell ref="I8:J8"/>
    <mergeCell ref="K8:L8"/>
    <mergeCell ref="M8:N8"/>
    <mergeCell ref="O8:P8"/>
    <mergeCell ref="Q8:R8"/>
    <mergeCell ref="S8:T8"/>
    <mergeCell ref="G7:H7"/>
    <mergeCell ref="I7:J7"/>
    <mergeCell ref="K7:L7"/>
    <mergeCell ref="M7:N7"/>
    <mergeCell ref="O7:P7"/>
    <mergeCell ref="Q7:R7"/>
    <mergeCell ref="S9:T9"/>
    <mergeCell ref="G10:H10"/>
    <mergeCell ref="I10:J10"/>
    <mergeCell ref="K10:L10"/>
    <mergeCell ref="M10:N10"/>
    <mergeCell ref="O10:P10"/>
    <mergeCell ref="Q10:R10"/>
    <mergeCell ref="S10:T10"/>
    <mergeCell ref="G9:H9"/>
    <mergeCell ref="I9:J9"/>
    <mergeCell ref="K9:L9"/>
    <mergeCell ref="M9:N9"/>
    <mergeCell ref="O9:P9"/>
    <mergeCell ref="Q9:R9"/>
    <mergeCell ref="S11:T11"/>
    <mergeCell ref="E12:E14"/>
    <mergeCell ref="F12:H12"/>
    <mergeCell ref="I12:J12"/>
    <mergeCell ref="K12:L12"/>
    <mergeCell ref="M12:N12"/>
    <mergeCell ref="O12:P12"/>
    <mergeCell ref="Q12:R12"/>
    <mergeCell ref="S12:T12"/>
    <mergeCell ref="I13:J13"/>
    <mergeCell ref="G11:H11"/>
    <mergeCell ref="I11:J11"/>
    <mergeCell ref="K11:L11"/>
    <mergeCell ref="M11:N11"/>
    <mergeCell ref="O11:P11"/>
    <mergeCell ref="Q11:R11"/>
    <mergeCell ref="K13:L13"/>
    <mergeCell ref="M13:N13"/>
    <mergeCell ref="O13:P13"/>
    <mergeCell ref="Q13:R13"/>
    <mergeCell ref="S13:T13"/>
    <mergeCell ref="F14:H14"/>
    <mergeCell ref="I14:J14"/>
    <mergeCell ref="K14:L14"/>
    <mergeCell ref="O14:P14"/>
    <mergeCell ref="Q14:R14"/>
    <mergeCell ref="S14:T14"/>
    <mergeCell ref="E15:E17"/>
    <mergeCell ref="F15:H15"/>
    <mergeCell ref="I15:J15"/>
    <mergeCell ref="K15:L15"/>
    <mergeCell ref="M15:N15"/>
    <mergeCell ref="O15:P15"/>
    <mergeCell ref="Q15:R15"/>
    <mergeCell ref="S15:T15"/>
    <mergeCell ref="S16:T16"/>
    <mergeCell ref="F17:H17"/>
    <mergeCell ref="I17:J17"/>
    <mergeCell ref="K17:L17"/>
    <mergeCell ref="M17:N17"/>
    <mergeCell ref="O17:P17"/>
    <mergeCell ref="Q17:R17"/>
    <mergeCell ref="S17:T17"/>
    <mergeCell ref="F16:H16"/>
    <mergeCell ref="I16:J16"/>
    <mergeCell ref="K16:L16"/>
    <mergeCell ref="M16:N16"/>
    <mergeCell ref="O16:P16"/>
    <mergeCell ref="Q16:R16"/>
    <mergeCell ref="Q18:R18"/>
    <mergeCell ref="S18:T18"/>
    <mergeCell ref="E19:H19"/>
    <mergeCell ref="I19:J19"/>
    <mergeCell ref="K19:L19"/>
    <mergeCell ref="M19:N19"/>
    <mergeCell ref="O19:P19"/>
    <mergeCell ref="Q19:R19"/>
    <mergeCell ref="S19:T19"/>
    <mergeCell ref="E18:H18"/>
    <mergeCell ref="I18:J18"/>
    <mergeCell ref="K18:L18"/>
    <mergeCell ref="M18:N18"/>
    <mergeCell ref="O18:P18"/>
    <mergeCell ref="O20:P20"/>
    <mergeCell ref="Q20:R20"/>
    <mergeCell ref="S20:T20"/>
    <mergeCell ref="E21:H21"/>
    <mergeCell ref="I21:J21"/>
    <mergeCell ref="K21:L21"/>
    <mergeCell ref="M21:N21"/>
    <mergeCell ref="O21:P21"/>
    <mergeCell ref="Q21:R21"/>
    <mergeCell ref="S21:T21"/>
    <mergeCell ref="E20:H20"/>
    <mergeCell ref="I20:J20"/>
    <mergeCell ref="K20:L20"/>
    <mergeCell ref="M20:N20"/>
    <mergeCell ref="S22:T22"/>
    <mergeCell ref="C24:I24"/>
    <mergeCell ref="C25:F25"/>
    <mergeCell ref="S25:T25"/>
    <mergeCell ref="C26:C35"/>
    <mergeCell ref="D26:F26"/>
    <mergeCell ref="S26:T26"/>
    <mergeCell ref="D27:F27"/>
    <mergeCell ref="S27:T27"/>
    <mergeCell ref="D28:F28"/>
    <mergeCell ref="E22:H22"/>
    <mergeCell ref="I22:J22"/>
    <mergeCell ref="K22:L22"/>
    <mergeCell ref="M22:N22"/>
    <mergeCell ref="O22:P22"/>
    <mergeCell ref="Q22:R22"/>
    <mergeCell ref="C18:D22"/>
    <mergeCell ref="D32:F32"/>
    <mergeCell ref="S32:T32"/>
    <mergeCell ref="D33:F33"/>
    <mergeCell ref="S33:T33"/>
    <mergeCell ref="D34:F34"/>
    <mergeCell ref="S34:T34"/>
    <mergeCell ref="S28:T28"/>
    <mergeCell ref="S29:T29"/>
    <mergeCell ref="D30:F30"/>
    <mergeCell ref="S30:T30"/>
    <mergeCell ref="D31:F31"/>
    <mergeCell ref="S31:T31"/>
    <mergeCell ref="D35:F35"/>
    <mergeCell ref="S35:T35"/>
    <mergeCell ref="C36:C45"/>
    <mergeCell ref="D36:F36"/>
    <mergeCell ref="S36:T36"/>
    <mergeCell ref="D37:F37"/>
    <mergeCell ref="S37:T37"/>
    <mergeCell ref="D38:F38"/>
    <mergeCell ref="S38:T38"/>
    <mergeCell ref="D39:F39"/>
    <mergeCell ref="D43:F43"/>
    <mergeCell ref="S43:T43"/>
    <mergeCell ref="D44:F44"/>
    <mergeCell ref="S44:T44"/>
    <mergeCell ref="D45:F45"/>
    <mergeCell ref="S45:T45"/>
    <mergeCell ref="S39:T39"/>
    <mergeCell ref="D40:F40"/>
    <mergeCell ref="S40:T40"/>
    <mergeCell ref="S41:T41"/>
    <mergeCell ref="D42:F42"/>
    <mergeCell ref="S42:T42"/>
    <mergeCell ref="O48:Q48"/>
    <mergeCell ref="R48:T48"/>
    <mergeCell ref="F49:G49"/>
    <mergeCell ref="H49:I49"/>
    <mergeCell ref="J49:K49"/>
    <mergeCell ref="L49:N49"/>
    <mergeCell ref="O49:Q49"/>
    <mergeCell ref="R49:T49"/>
    <mergeCell ref="C47:I47"/>
    <mergeCell ref="C48:E49"/>
    <mergeCell ref="F48:G48"/>
    <mergeCell ref="H48:I48"/>
    <mergeCell ref="J48:K48"/>
    <mergeCell ref="L48:N48"/>
    <mergeCell ref="O50:Q50"/>
    <mergeCell ref="R50:T50"/>
    <mergeCell ref="D51:E51"/>
    <mergeCell ref="F51:G51"/>
    <mergeCell ref="H51:I51"/>
    <mergeCell ref="J51:K51"/>
    <mergeCell ref="L51:N51"/>
    <mergeCell ref="O51:Q51"/>
    <mergeCell ref="R51:T51"/>
    <mergeCell ref="D50:E50"/>
    <mergeCell ref="F50:G50"/>
    <mergeCell ref="H50:I50"/>
    <mergeCell ref="J50:K50"/>
    <mergeCell ref="L50:N50"/>
    <mergeCell ref="O52:Q52"/>
    <mergeCell ref="R52:T52"/>
    <mergeCell ref="D53:E53"/>
    <mergeCell ref="F53:G53"/>
    <mergeCell ref="H53:I53"/>
    <mergeCell ref="J53:K53"/>
    <mergeCell ref="L53:N53"/>
    <mergeCell ref="O53:Q53"/>
    <mergeCell ref="R53:T53"/>
    <mergeCell ref="D52:E52"/>
    <mergeCell ref="F52:G52"/>
    <mergeCell ref="H52:I52"/>
    <mergeCell ref="J52:K52"/>
    <mergeCell ref="O56:Q56"/>
    <mergeCell ref="R56:T56"/>
    <mergeCell ref="R54:T54"/>
    <mergeCell ref="D55:E55"/>
    <mergeCell ref="F55:G55"/>
    <mergeCell ref="H55:I55"/>
    <mergeCell ref="J55:K55"/>
    <mergeCell ref="L55:N55"/>
    <mergeCell ref="O55:Q55"/>
    <mergeCell ref="R55:T55"/>
    <mergeCell ref="D54:E54"/>
    <mergeCell ref="F54:G54"/>
    <mergeCell ref="H54:I54"/>
    <mergeCell ref="J54:K54"/>
    <mergeCell ref="L54:N54"/>
    <mergeCell ref="O54:Q54"/>
    <mergeCell ref="R57:T57"/>
    <mergeCell ref="D58:E58"/>
    <mergeCell ref="F58:G58"/>
    <mergeCell ref="H58:I58"/>
    <mergeCell ref="J58:K58"/>
    <mergeCell ref="L58:N58"/>
    <mergeCell ref="O58:Q58"/>
    <mergeCell ref="R58:T58"/>
    <mergeCell ref="D57:E57"/>
    <mergeCell ref="F57:G57"/>
    <mergeCell ref="H57:I57"/>
    <mergeCell ref="J57:K57"/>
    <mergeCell ref="L57:N57"/>
    <mergeCell ref="O57:Q57"/>
    <mergeCell ref="O61:Q61"/>
    <mergeCell ref="R61:T61"/>
    <mergeCell ref="R59:T59"/>
    <mergeCell ref="C60:C69"/>
    <mergeCell ref="D60:E60"/>
    <mergeCell ref="F60:G60"/>
    <mergeCell ref="H60:I60"/>
    <mergeCell ref="J60:K60"/>
    <mergeCell ref="L60:N60"/>
    <mergeCell ref="O60:Q60"/>
    <mergeCell ref="R60:T60"/>
    <mergeCell ref="D61:E61"/>
    <mergeCell ref="D59:E59"/>
    <mergeCell ref="F59:G59"/>
    <mergeCell ref="H59:I59"/>
    <mergeCell ref="J59:K59"/>
    <mergeCell ref="L59:N59"/>
    <mergeCell ref="O59:Q59"/>
    <mergeCell ref="C50:C59"/>
    <mergeCell ref="R62:T62"/>
    <mergeCell ref="D63:E63"/>
    <mergeCell ref="F63:G63"/>
    <mergeCell ref="H63:I63"/>
    <mergeCell ref="J63:K63"/>
    <mergeCell ref="O63:Q63"/>
    <mergeCell ref="R63:T63"/>
    <mergeCell ref="D62:E62"/>
    <mergeCell ref="F62:G62"/>
    <mergeCell ref="H62:I62"/>
    <mergeCell ref="J62:K62"/>
    <mergeCell ref="L62:N62"/>
    <mergeCell ref="O62:Q62"/>
    <mergeCell ref="R66:T66"/>
    <mergeCell ref="D66:E66"/>
    <mergeCell ref="F66:G66"/>
    <mergeCell ref="H66:I66"/>
    <mergeCell ref="J66:K66"/>
    <mergeCell ref="L66:N66"/>
    <mergeCell ref="O66:Q66"/>
    <mergeCell ref="R64:T64"/>
    <mergeCell ref="D65:E65"/>
    <mergeCell ref="F65:G65"/>
    <mergeCell ref="H65:I65"/>
    <mergeCell ref="J65:K65"/>
    <mergeCell ref="L65:N65"/>
    <mergeCell ref="O65:Q65"/>
    <mergeCell ref="R65:T65"/>
    <mergeCell ref="D64:E64"/>
    <mergeCell ref="F64:G64"/>
    <mergeCell ref="H64:I64"/>
    <mergeCell ref="J64:K64"/>
    <mergeCell ref="L64:N64"/>
    <mergeCell ref="O64:Q64"/>
    <mergeCell ref="R67:T67"/>
    <mergeCell ref="D68:E68"/>
    <mergeCell ref="F68:G68"/>
    <mergeCell ref="H68:I68"/>
    <mergeCell ref="J68:K68"/>
    <mergeCell ref="L68:N68"/>
    <mergeCell ref="O68:Q68"/>
    <mergeCell ref="R68:T68"/>
    <mergeCell ref="D67:E67"/>
    <mergeCell ref="F67:G67"/>
    <mergeCell ref="H67:I67"/>
    <mergeCell ref="J67:K67"/>
    <mergeCell ref="L67:N67"/>
    <mergeCell ref="O67:Q67"/>
    <mergeCell ref="R73:T73"/>
    <mergeCell ref="C74:E74"/>
    <mergeCell ref="F74:G74"/>
    <mergeCell ref="H74:J74"/>
    <mergeCell ref="K74:L74"/>
    <mergeCell ref="M74:O74"/>
    <mergeCell ref="P74:Q74"/>
    <mergeCell ref="R74:T74"/>
    <mergeCell ref="R69:T69"/>
    <mergeCell ref="C71:I71"/>
    <mergeCell ref="C72:E73"/>
    <mergeCell ref="F72:G73"/>
    <mergeCell ref="H72:J73"/>
    <mergeCell ref="K72:O72"/>
    <mergeCell ref="P72:T72"/>
    <mergeCell ref="K73:L73"/>
    <mergeCell ref="M73:O73"/>
    <mergeCell ref="P73:Q73"/>
    <mergeCell ref="D69:E69"/>
    <mergeCell ref="F69:G69"/>
    <mergeCell ref="H69:I69"/>
    <mergeCell ref="J69:K69"/>
    <mergeCell ref="L69:N69"/>
    <mergeCell ref="O69:Q69"/>
    <mergeCell ref="R75:T75"/>
    <mergeCell ref="C76:E76"/>
    <mergeCell ref="F76:G76"/>
    <mergeCell ref="H76:J76"/>
    <mergeCell ref="K76:L76"/>
    <mergeCell ref="M76:O76"/>
    <mergeCell ref="P76:Q76"/>
    <mergeCell ref="R76:T76"/>
    <mergeCell ref="C75:E75"/>
    <mergeCell ref="F75:G75"/>
    <mergeCell ref="H75:J75"/>
    <mergeCell ref="K75:L75"/>
    <mergeCell ref="M75:O75"/>
    <mergeCell ref="P75:Q75"/>
    <mergeCell ref="R77:T77"/>
    <mergeCell ref="C78:E78"/>
    <mergeCell ref="F78:G78"/>
    <mergeCell ref="H78:J78"/>
    <mergeCell ref="K78:L78"/>
    <mergeCell ref="M78:O78"/>
    <mergeCell ref="P78:Q78"/>
    <mergeCell ref="R78:T78"/>
    <mergeCell ref="C77:E77"/>
    <mergeCell ref="F77:G77"/>
    <mergeCell ref="H77:J77"/>
    <mergeCell ref="K77:L77"/>
    <mergeCell ref="M77:O77"/>
    <mergeCell ref="P77:Q77"/>
    <mergeCell ref="R83:T83"/>
    <mergeCell ref="C84:E84"/>
    <mergeCell ref="F84:G84"/>
    <mergeCell ref="H84:J84"/>
    <mergeCell ref="K84:L84"/>
    <mergeCell ref="M84:O84"/>
    <mergeCell ref="P84:Q84"/>
    <mergeCell ref="R84:T84"/>
    <mergeCell ref="R79:T79"/>
    <mergeCell ref="C81:I81"/>
    <mergeCell ref="C82:E83"/>
    <mergeCell ref="F82:G83"/>
    <mergeCell ref="H82:J83"/>
    <mergeCell ref="K82:O82"/>
    <mergeCell ref="P82:T82"/>
    <mergeCell ref="K83:L83"/>
    <mergeCell ref="M83:O83"/>
    <mergeCell ref="P83:Q83"/>
    <mergeCell ref="C79:E79"/>
    <mergeCell ref="F79:G79"/>
    <mergeCell ref="H79:J79"/>
    <mergeCell ref="K79:L79"/>
    <mergeCell ref="M79:O79"/>
    <mergeCell ref="P79:Q79"/>
    <mergeCell ref="R85:T85"/>
    <mergeCell ref="C86:E86"/>
    <mergeCell ref="F86:G86"/>
    <mergeCell ref="H86:J86"/>
    <mergeCell ref="K86:L86"/>
    <mergeCell ref="M86:O86"/>
    <mergeCell ref="P86:Q86"/>
    <mergeCell ref="R86:T86"/>
    <mergeCell ref="C85:E85"/>
    <mergeCell ref="F85:G85"/>
    <mergeCell ref="H85:J85"/>
    <mergeCell ref="K85:L85"/>
    <mergeCell ref="M85:O85"/>
    <mergeCell ref="P85:Q85"/>
    <mergeCell ref="R87:T87"/>
    <mergeCell ref="C87:E87"/>
    <mergeCell ref="F87:G87"/>
    <mergeCell ref="H87:J87"/>
    <mergeCell ref="K87:L87"/>
    <mergeCell ref="M87:O87"/>
    <mergeCell ref="P87:Q87"/>
    <mergeCell ref="C88:E88"/>
    <mergeCell ref="F88:G88"/>
    <mergeCell ref="H88:J88"/>
    <mergeCell ref="K88:L88"/>
    <mergeCell ref="M88:O88"/>
    <mergeCell ref="P88:Q88"/>
    <mergeCell ref="R88:T88"/>
    <mergeCell ref="R89:T89"/>
    <mergeCell ref="C91:I91"/>
    <mergeCell ref="C92:G92"/>
    <mergeCell ref="H92:I92"/>
    <mergeCell ref="J92:M92"/>
    <mergeCell ref="N92:Q92"/>
    <mergeCell ref="R92:T92"/>
    <mergeCell ref="C89:E89"/>
    <mergeCell ref="F89:G89"/>
    <mergeCell ref="H89:J89"/>
    <mergeCell ref="K89:L89"/>
    <mergeCell ref="M89:O89"/>
    <mergeCell ref="P89:Q89"/>
    <mergeCell ref="C93:G93"/>
    <mergeCell ref="H93:I93"/>
    <mergeCell ref="J93:M93"/>
    <mergeCell ref="N93:P93"/>
    <mergeCell ref="R93:T93"/>
    <mergeCell ref="C94:G94"/>
    <mergeCell ref="H94:I94"/>
    <mergeCell ref="J94:M94"/>
    <mergeCell ref="N94:P94"/>
    <mergeCell ref="R94:T94"/>
    <mergeCell ref="C95:G95"/>
    <mergeCell ref="H95:I95"/>
    <mergeCell ref="J95:M95"/>
    <mergeCell ref="N95:P95"/>
    <mergeCell ref="R95:T95"/>
    <mergeCell ref="C96:G96"/>
    <mergeCell ref="H96:I96"/>
    <mergeCell ref="J96:M96"/>
    <mergeCell ref="N96:P96"/>
    <mergeCell ref="R96:T96"/>
    <mergeCell ref="R99:T99"/>
    <mergeCell ref="C100:G100"/>
    <mergeCell ref="H100:I100"/>
    <mergeCell ref="J100:M100"/>
    <mergeCell ref="N100:P100"/>
    <mergeCell ref="R100:T100"/>
    <mergeCell ref="C97:G97"/>
    <mergeCell ref="H97:I97"/>
    <mergeCell ref="J97:M97"/>
    <mergeCell ref="N97:P97"/>
    <mergeCell ref="R97:T97"/>
    <mergeCell ref="C98:G98"/>
    <mergeCell ref="H98:I98"/>
    <mergeCell ref="J98:M98"/>
    <mergeCell ref="N98:P98"/>
    <mergeCell ref="R98:T98"/>
    <mergeCell ref="C102:L102"/>
    <mergeCell ref="C103:D103"/>
    <mergeCell ref="E103:F103"/>
    <mergeCell ref="G103:H103"/>
    <mergeCell ref="I103:J103"/>
    <mergeCell ref="K103:L103"/>
    <mergeCell ref="C99:G99"/>
    <mergeCell ref="H99:I99"/>
    <mergeCell ref="J99:M99"/>
    <mergeCell ref="M103:N103"/>
    <mergeCell ref="N99:P99"/>
    <mergeCell ref="O103:P103"/>
    <mergeCell ref="Q103:R103"/>
    <mergeCell ref="S103:T103"/>
    <mergeCell ref="C104:D104"/>
    <mergeCell ref="E104:F104"/>
    <mergeCell ref="G104:H104"/>
    <mergeCell ref="I104:J104"/>
    <mergeCell ref="K104:L104"/>
    <mergeCell ref="M104:N104"/>
    <mergeCell ref="O104:P104"/>
    <mergeCell ref="Q104:R104"/>
    <mergeCell ref="S104:T104"/>
    <mergeCell ref="C105:D105"/>
    <mergeCell ref="E105:F105"/>
    <mergeCell ref="G105:H105"/>
    <mergeCell ref="I105:J105"/>
    <mergeCell ref="K105:L105"/>
    <mergeCell ref="M105:N105"/>
    <mergeCell ref="O105:P105"/>
    <mergeCell ref="Q105:R105"/>
    <mergeCell ref="S105:T105"/>
    <mergeCell ref="C106:D106"/>
    <mergeCell ref="E106:F106"/>
    <mergeCell ref="G106:H106"/>
    <mergeCell ref="I106:J106"/>
    <mergeCell ref="K106:L106"/>
    <mergeCell ref="M106:N106"/>
    <mergeCell ref="O106:P106"/>
    <mergeCell ref="Q106:R106"/>
    <mergeCell ref="S106:T106"/>
    <mergeCell ref="C107:D107"/>
    <mergeCell ref="E107:F107"/>
    <mergeCell ref="G107:H107"/>
    <mergeCell ref="I107:J107"/>
    <mergeCell ref="K107:L107"/>
    <mergeCell ref="M107:N107"/>
    <mergeCell ref="O107:P107"/>
    <mergeCell ref="Q107:R107"/>
    <mergeCell ref="S107:T107"/>
    <mergeCell ref="O108:P108"/>
    <mergeCell ref="Q108:R108"/>
    <mergeCell ref="S108:T108"/>
    <mergeCell ref="C109:D109"/>
    <mergeCell ref="E109:F109"/>
    <mergeCell ref="G109:H109"/>
    <mergeCell ref="I109:J109"/>
    <mergeCell ref="K109:L109"/>
    <mergeCell ref="M109:N109"/>
    <mergeCell ref="O109:P109"/>
    <mergeCell ref="C108:D108"/>
    <mergeCell ref="E108:F108"/>
    <mergeCell ref="G108:H108"/>
    <mergeCell ref="I108:J108"/>
    <mergeCell ref="K108:L108"/>
    <mergeCell ref="M108:N108"/>
    <mergeCell ref="Q109:R109"/>
    <mergeCell ref="S109:T109"/>
    <mergeCell ref="C110:D110"/>
    <mergeCell ref="E110:F110"/>
    <mergeCell ref="G110:H110"/>
    <mergeCell ref="I110:J110"/>
    <mergeCell ref="K110:L110"/>
    <mergeCell ref="M110:N110"/>
    <mergeCell ref="O110:P110"/>
    <mergeCell ref="Q110:R110"/>
    <mergeCell ref="S110:T110"/>
    <mergeCell ref="C111:D111"/>
    <mergeCell ref="E111:F111"/>
    <mergeCell ref="G111:H111"/>
    <mergeCell ref="I111:J111"/>
    <mergeCell ref="K111:L111"/>
    <mergeCell ref="M111:N111"/>
    <mergeCell ref="O111:P111"/>
    <mergeCell ref="Q111:R111"/>
    <mergeCell ref="S111:T111"/>
    <mergeCell ref="C113:D113"/>
    <mergeCell ref="E113:F113"/>
    <mergeCell ref="G113:H113"/>
    <mergeCell ref="I113:J113"/>
    <mergeCell ref="K113:L113"/>
    <mergeCell ref="M113:N113"/>
    <mergeCell ref="O113:P113"/>
    <mergeCell ref="C112:D112"/>
    <mergeCell ref="E112:F112"/>
    <mergeCell ref="G112:H112"/>
    <mergeCell ref="I112:J112"/>
    <mergeCell ref="K112:L112"/>
    <mergeCell ref="M112:N112"/>
    <mergeCell ref="O114:P114"/>
    <mergeCell ref="Q114:R114"/>
    <mergeCell ref="S114:T114"/>
    <mergeCell ref="N125:P125"/>
    <mergeCell ref="Q125:R125"/>
    <mergeCell ref="S124:T124"/>
    <mergeCell ref="S125:T125"/>
    <mergeCell ref="O112:P112"/>
    <mergeCell ref="Q112:R112"/>
    <mergeCell ref="S112:T112"/>
    <mergeCell ref="Q113:R113"/>
    <mergeCell ref="S113:T113"/>
    <mergeCell ref="F13:H13"/>
    <mergeCell ref="C131:D131"/>
    <mergeCell ref="E131:G131"/>
    <mergeCell ref="H131:J131"/>
    <mergeCell ref="K131:M131"/>
    <mergeCell ref="N131:P131"/>
    <mergeCell ref="Q131:T131"/>
    <mergeCell ref="C130:D130"/>
    <mergeCell ref="E130:G130"/>
    <mergeCell ref="H130:J130"/>
    <mergeCell ref="K130:M130"/>
    <mergeCell ref="N130:P130"/>
    <mergeCell ref="Q130:T130"/>
    <mergeCell ref="C127:I127"/>
    <mergeCell ref="E128:M128"/>
    <mergeCell ref="N128:P129"/>
    <mergeCell ref="Q128:T129"/>
    <mergeCell ref="E129:G129"/>
    <mergeCell ref="H129:J129"/>
    <mergeCell ref="K129:M129"/>
    <mergeCell ref="C114:H114"/>
    <mergeCell ref="I114:J114"/>
    <mergeCell ref="K114:L114"/>
    <mergeCell ref="M114:N114"/>
  </mergeCells>
  <phoneticPr fontId="2"/>
  <pageMargins left="0.70866141732283472" right="0.70866141732283472" top="0.59055118110236227" bottom="0.59055118110236227" header="0.31496062992125984" footer="0.31496062992125984"/>
  <pageSetup paperSize="9" scale="81" orientation="landscape" r:id="rId1"/>
  <rowBreaks count="2" manualBreakCount="2">
    <brk id="45" min="1" max="19" man="1"/>
    <brk id="89" min="1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"/>
  <sheetViews>
    <sheetView topLeftCell="A10" workbookViewId="0">
      <selection activeCell="N22" sqref="N22"/>
    </sheetView>
  </sheetViews>
  <sheetFormatPr defaultRowHeight="39" customHeight="1" x14ac:dyDescent="0.2"/>
  <cols>
    <col min="1" max="1" width="4.33203125" customWidth="1"/>
    <col min="2" max="2" width="4.6640625" customWidth="1"/>
    <col min="3" max="3" width="10.83203125" customWidth="1"/>
    <col min="4" max="10" width="6.83203125" customWidth="1"/>
    <col min="11" max="11" width="28.33203125" customWidth="1"/>
  </cols>
  <sheetData>
    <row r="1" spans="1:11" ht="39" customHeight="1" x14ac:dyDescent="0.2">
      <c r="A1" s="783" t="s">
        <v>207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</row>
    <row r="2" spans="1:11" ht="17.25" customHeight="1" x14ac:dyDescent="0.2">
      <c r="A2" s="784" t="s">
        <v>165</v>
      </c>
      <c r="B2" s="785"/>
      <c r="C2" s="786"/>
      <c r="D2" s="53" t="s">
        <v>166</v>
      </c>
      <c r="E2" s="48" t="s">
        <v>167</v>
      </c>
      <c r="F2" s="790" t="s">
        <v>168</v>
      </c>
      <c r="G2" s="791"/>
      <c r="H2" s="791"/>
      <c r="I2" s="791"/>
      <c r="J2" s="792"/>
      <c r="K2" s="793" t="s">
        <v>169</v>
      </c>
    </row>
    <row r="3" spans="1:11" ht="27.75" customHeight="1" x14ac:dyDescent="0.2">
      <c r="A3" s="787"/>
      <c r="B3" s="788"/>
      <c r="C3" s="789"/>
      <c r="D3" s="86" t="s">
        <v>337</v>
      </c>
      <c r="E3" s="48" t="s">
        <v>317</v>
      </c>
      <c r="F3" s="106" t="s">
        <v>338</v>
      </c>
      <c r="G3" s="106" t="s">
        <v>339</v>
      </c>
      <c r="H3" s="106" t="s">
        <v>335</v>
      </c>
      <c r="I3" s="106" t="s">
        <v>336</v>
      </c>
      <c r="J3" s="106" t="s">
        <v>340</v>
      </c>
      <c r="K3" s="794"/>
    </row>
    <row r="4" spans="1:11" ht="39" customHeight="1" x14ac:dyDescent="0.2">
      <c r="A4" s="795" t="s">
        <v>170</v>
      </c>
      <c r="B4" s="798" t="s">
        <v>171</v>
      </c>
      <c r="C4" s="799"/>
      <c r="D4" s="48"/>
      <c r="E4" s="48">
        <f>D8</f>
        <v>0</v>
      </c>
      <c r="F4" s="106">
        <f>E8</f>
        <v>0</v>
      </c>
      <c r="G4" s="106">
        <f t="shared" ref="G4:J4" si="0">F8</f>
        <v>0</v>
      </c>
      <c r="H4" s="106">
        <f t="shared" si="0"/>
        <v>0</v>
      </c>
      <c r="I4" s="106">
        <f t="shared" si="0"/>
        <v>0</v>
      </c>
      <c r="J4" s="106">
        <f t="shared" si="0"/>
        <v>0</v>
      </c>
      <c r="K4" s="49" t="s">
        <v>172</v>
      </c>
    </row>
    <row r="5" spans="1:11" ht="39" customHeight="1" x14ac:dyDescent="0.2">
      <c r="A5" s="796"/>
      <c r="B5" s="795" t="s">
        <v>173</v>
      </c>
      <c r="C5" s="50" t="s">
        <v>174</v>
      </c>
      <c r="D5" s="48"/>
      <c r="E5" s="48"/>
      <c r="F5" s="48"/>
      <c r="G5" s="48"/>
      <c r="H5" s="48"/>
      <c r="I5" s="48"/>
      <c r="J5" s="48"/>
      <c r="K5" s="49" t="s">
        <v>175</v>
      </c>
    </row>
    <row r="6" spans="1:11" ht="39" customHeight="1" x14ac:dyDescent="0.2">
      <c r="A6" s="796"/>
      <c r="B6" s="800"/>
      <c r="C6" s="50" t="s">
        <v>176</v>
      </c>
      <c r="D6" s="48"/>
      <c r="E6" s="48"/>
      <c r="F6" s="48"/>
      <c r="G6" s="48"/>
      <c r="H6" s="48"/>
      <c r="I6" s="48"/>
      <c r="J6" s="48"/>
      <c r="K6" s="49" t="s">
        <v>177</v>
      </c>
    </row>
    <row r="7" spans="1:11" ht="39" customHeight="1" x14ac:dyDescent="0.2">
      <c r="A7" s="796"/>
      <c r="B7" s="798" t="s">
        <v>178</v>
      </c>
      <c r="C7" s="799"/>
      <c r="D7" s="48"/>
      <c r="E7" s="48"/>
      <c r="F7" s="48"/>
      <c r="G7" s="48"/>
      <c r="H7" s="48"/>
      <c r="I7" s="48"/>
      <c r="J7" s="48"/>
      <c r="K7" s="49" t="s">
        <v>179</v>
      </c>
    </row>
    <row r="8" spans="1:11" ht="39" customHeight="1" thickBot="1" x14ac:dyDescent="0.25">
      <c r="A8" s="797"/>
      <c r="B8" s="801" t="s">
        <v>180</v>
      </c>
      <c r="C8" s="802"/>
      <c r="D8" s="51">
        <f>D4+D5+D6-D7</f>
        <v>0</v>
      </c>
      <c r="E8" s="51">
        <f t="shared" ref="E8:J8" si="1">E4+E5+E6-E7</f>
        <v>0</v>
      </c>
      <c r="F8" s="51">
        <f>F4+F5+F6-F7</f>
        <v>0</v>
      </c>
      <c r="G8" s="51">
        <f t="shared" si="1"/>
        <v>0</v>
      </c>
      <c r="H8" s="51">
        <f t="shared" si="1"/>
        <v>0</v>
      </c>
      <c r="I8" s="51">
        <f t="shared" si="1"/>
        <v>0</v>
      </c>
      <c r="J8" s="51">
        <f t="shared" si="1"/>
        <v>0</v>
      </c>
      <c r="K8" s="52" t="s">
        <v>209</v>
      </c>
    </row>
    <row r="9" spans="1:11" ht="39" customHeight="1" thickTop="1" x14ac:dyDescent="0.2">
      <c r="A9" s="803" t="s">
        <v>208</v>
      </c>
      <c r="B9" s="806" t="s">
        <v>181</v>
      </c>
      <c r="C9" s="807"/>
      <c r="D9" s="54"/>
      <c r="E9" s="54">
        <f>D13</f>
        <v>0</v>
      </c>
      <c r="F9" s="54">
        <f t="shared" ref="F9:I9" si="2">E13</f>
        <v>0</v>
      </c>
      <c r="G9" s="54">
        <f t="shared" si="2"/>
        <v>0</v>
      </c>
      <c r="H9" s="54">
        <f t="shared" si="2"/>
        <v>0</v>
      </c>
      <c r="I9" s="54">
        <f t="shared" si="2"/>
        <v>0</v>
      </c>
      <c r="J9" s="54">
        <f>I13</f>
        <v>0</v>
      </c>
      <c r="K9" s="55" t="s">
        <v>182</v>
      </c>
    </row>
    <row r="10" spans="1:11" ht="39" customHeight="1" x14ac:dyDescent="0.2">
      <c r="A10" s="804"/>
      <c r="B10" s="808" t="s">
        <v>173</v>
      </c>
      <c r="C10" s="56" t="s">
        <v>183</v>
      </c>
      <c r="D10" s="54">
        <f>D17</f>
        <v>0</v>
      </c>
      <c r="E10" s="54">
        <f>E17</f>
        <v>0</v>
      </c>
      <c r="F10" s="54">
        <f t="shared" ref="F10:I10" si="3">F17</f>
        <v>0</v>
      </c>
      <c r="G10" s="54">
        <f t="shared" si="3"/>
        <v>0</v>
      </c>
      <c r="H10" s="54">
        <f t="shared" si="3"/>
        <v>0</v>
      </c>
      <c r="I10" s="54">
        <f t="shared" si="3"/>
        <v>0</v>
      </c>
      <c r="J10" s="54">
        <f>J17</f>
        <v>0</v>
      </c>
      <c r="K10" s="57" t="s">
        <v>184</v>
      </c>
    </row>
    <row r="11" spans="1:11" ht="39" customHeight="1" x14ac:dyDescent="0.2">
      <c r="A11" s="804"/>
      <c r="B11" s="805"/>
      <c r="C11" s="56" t="s">
        <v>185</v>
      </c>
      <c r="D11" s="54"/>
      <c r="E11" s="54"/>
      <c r="F11" s="54"/>
      <c r="G11" s="54"/>
      <c r="H11" s="54"/>
      <c r="I11" s="54"/>
      <c r="J11" s="54"/>
      <c r="K11" s="57" t="s">
        <v>177</v>
      </c>
    </row>
    <row r="12" spans="1:11" ht="39" customHeight="1" x14ac:dyDescent="0.2">
      <c r="A12" s="804"/>
      <c r="B12" s="809" t="s">
        <v>186</v>
      </c>
      <c r="C12" s="810"/>
      <c r="D12" s="54"/>
      <c r="E12" s="54"/>
      <c r="F12" s="54"/>
      <c r="G12" s="54"/>
      <c r="H12" s="54"/>
      <c r="I12" s="54"/>
      <c r="J12" s="54"/>
      <c r="K12" s="57" t="s">
        <v>179</v>
      </c>
    </row>
    <row r="13" spans="1:11" ht="39" customHeight="1" x14ac:dyDescent="0.2">
      <c r="A13" s="805"/>
      <c r="B13" s="809" t="s">
        <v>187</v>
      </c>
      <c r="C13" s="810"/>
      <c r="D13" s="54">
        <f>D9+D10+D11-D12</f>
        <v>0</v>
      </c>
      <c r="E13" s="54">
        <f t="shared" ref="E13:I13" si="4">E9+E10+E11-E12</f>
        <v>0</v>
      </c>
      <c r="F13" s="54">
        <f t="shared" si="4"/>
        <v>0</v>
      </c>
      <c r="G13" s="54">
        <f>G9+G10+G11-G12</f>
        <v>0</v>
      </c>
      <c r="H13" s="54">
        <f t="shared" si="4"/>
        <v>0</v>
      </c>
      <c r="I13" s="54">
        <f t="shared" si="4"/>
        <v>0</v>
      </c>
      <c r="J13" s="54">
        <f>J9+J10+J11-J12</f>
        <v>0</v>
      </c>
      <c r="K13" s="57" t="s">
        <v>210</v>
      </c>
    </row>
    <row r="14" spans="1:11" ht="39" customHeight="1" x14ac:dyDescent="0.2">
      <c r="A14" s="808" t="s">
        <v>188</v>
      </c>
      <c r="B14" s="816" t="s">
        <v>189</v>
      </c>
      <c r="C14" s="817"/>
      <c r="D14" s="54"/>
      <c r="E14" s="54">
        <f>D19</f>
        <v>0</v>
      </c>
      <c r="F14" s="54">
        <f t="shared" ref="F14:I14" si="5">E19</f>
        <v>0</v>
      </c>
      <c r="G14" s="54">
        <f t="shared" si="5"/>
        <v>0</v>
      </c>
      <c r="H14" s="54">
        <f t="shared" si="5"/>
        <v>0</v>
      </c>
      <c r="I14" s="54">
        <f t="shared" si="5"/>
        <v>0</v>
      </c>
      <c r="J14" s="54">
        <f t="shared" ref="J14" si="6">I19</f>
        <v>0</v>
      </c>
      <c r="K14" s="57" t="s">
        <v>190</v>
      </c>
    </row>
    <row r="15" spans="1:11" ht="39" customHeight="1" x14ac:dyDescent="0.2">
      <c r="A15" s="804"/>
      <c r="B15" s="808" t="s">
        <v>191</v>
      </c>
      <c r="C15" s="54" t="s">
        <v>211</v>
      </c>
      <c r="D15" s="54"/>
      <c r="E15" s="58"/>
      <c r="F15" s="54"/>
      <c r="G15" s="54"/>
      <c r="H15" s="54"/>
      <c r="I15" s="54"/>
      <c r="J15" s="54"/>
      <c r="K15" s="811" t="s">
        <v>192</v>
      </c>
    </row>
    <row r="16" spans="1:11" ht="39" customHeight="1" x14ac:dyDescent="0.2">
      <c r="A16" s="804"/>
      <c r="B16" s="805"/>
      <c r="C16" s="54" t="s">
        <v>212</v>
      </c>
      <c r="D16" s="54"/>
      <c r="E16" s="54"/>
      <c r="F16" s="54"/>
      <c r="G16" s="54"/>
      <c r="H16" s="54"/>
      <c r="I16" s="54"/>
      <c r="J16" s="54"/>
      <c r="K16" s="812"/>
    </row>
    <row r="17" spans="1:11" ht="39" customHeight="1" x14ac:dyDescent="0.2">
      <c r="A17" s="804"/>
      <c r="B17" s="809" t="s">
        <v>193</v>
      </c>
      <c r="C17" s="810"/>
      <c r="D17" s="54"/>
      <c r="E17" s="54"/>
      <c r="F17" s="54"/>
      <c r="G17" s="54"/>
      <c r="H17" s="54"/>
      <c r="I17" s="54"/>
      <c r="J17" s="54"/>
      <c r="K17" s="57" t="s">
        <v>194</v>
      </c>
    </row>
    <row r="18" spans="1:11" ht="39" customHeight="1" x14ac:dyDescent="0.2">
      <c r="A18" s="804"/>
      <c r="B18" s="809" t="s">
        <v>195</v>
      </c>
      <c r="C18" s="810"/>
      <c r="D18" s="54"/>
      <c r="E18" s="54"/>
      <c r="F18" s="54"/>
      <c r="G18" s="54"/>
      <c r="H18" s="54"/>
      <c r="I18" s="54"/>
      <c r="J18" s="54"/>
      <c r="K18" s="57" t="s">
        <v>179</v>
      </c>
    </row>
    <row r="19" spans="1:11" ht="39" customHeight="1" thickBot="1" x14ac:dyDescent="0.25">
      <c r="A19" s="815"/>
      <c r="B19" s="809" t="s">
        <v>196</v>
      </c>
      <c r="C19" s="810"/>
      <c r="D19" s="54">
        <f>D14+D15+D16-D17-D18</f>
        <v>0</v>
      </c>
      <c r="E19" s="54">
        <f>E14+E15+E16-E17-E18</f>
        <v>0</v>
      </c>
      <c r="F19" s="54">
        <f t="shared" ref="F19:J19" si="7">F14+F15+F16-F17-F18</f>
        <v>0</v>
      </c>
      <c r="G19" s="54">
        <f t="shared" si="7"/>
        <v>0</v>
      </c>
      <c r="H19" s="54">
        <f t="shared" si="7"/>
        <v>0</v>
      </c>
      <c r="I19" s="54">
        <f t="shared" si="7"/>
        <v>0</v>
      </c>
      <c r="J19" s="54">
        <f t="shared" si="7"/>
        <v>0</v>
      </c>
      <c r="K19" s="57" t="s">
        <v>213</v>
      </c>
    </row>
    <row r="20" spans="1:11" ht="39" customHeight="1" thickTop="1" x14ac:dyDescent="0.2">
      <c r="A20" s="813" t="s">
        <v>311</v>
      </c>
      <c r="B20" s="814"/>
      <c r="C20" s="814"/>
      <c r="D20" s="814"/>
      <c r="E20" s="814"/>
      <c r="F20" s="814"/>
      <c r="G20" s="814"/>
      <c r="H20" s="81" t="s">
        <v>197</v>
      </c>
      <c r="I20" s="59"/>
      <c r="J20" s="59"/>
      <c r="K20" s="60"/>
    </row>
    <row r="21" spans="1:11" ht="39" customHeight="1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61"/>
    </row>
  </sheetData>
  <mergeCells count="22">
    <mergeCell ref="K15:K16"/>
    <mergeCell ref="B17:C17"/>
    <mergeCell ref="B18:C18"/>
    <mergeCell ref="B19:C19"/>
    <mergeCell ref="A20:G20"/>
    <mergeCell ref="A14:A19"/>
    <mergeCell ref="B14:C14"/>
    <mergeCell ref="B15:B16"/>
    <mergeCell ref="A9:A13"/>
    <mergeCell ref="B9:C9"/>
    <mergeCell ref="B10:B11"/>
    <mergeCell ref="B12:C12"/>
    <mergeCell ref="B13:C13"/>
    <mergeCell ref="A1:K1"/>
    <mergeCell ref="A2:C3"/>
    <mergeCell ref="F2:J2"/>
    <mergeCell ref="K2:K3"/>
    <mergeCell ref="A4:A8"/>
    <mergeCell ref="B4:C4"/>
    <mergeCell ref="B5:B6"/>
    <mergeCell ref="B7:C7"/>
    <mergeCell ref="B8:C8"/>
  </mergeCells>
  <phoneticPr fontId="2"/>
  <printOptions horizontalCentered="1"/>
  <pageMargins left="0.59055118110236227" right="0.39370078740157483" top="0.59055118110236227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2"/>
  <sheetViews>
    <sheetView topLeftCell="A4" workbookViewId="0">
      <selection activeCell="U23" sqref="U23"/>
    </sheetView>
  </sheetViews>
  <sheetFormatPr defaultColWidth="10" defaultRowHeight="12" x14ac:dyDescent="0.2"/>
  <cols>
    <col min="1" max="1" width="5" style="67" customWidth="1"/>
    <col min="2" max="2" width="19" style="63" customWidth="1"/>
    <col min="3" max="15" width="9.1640625" style="63" customWidth="1"/>
    <col min="16" max="16" width="9.5" style="80" customWidth="1"/>
    <col min="17" max="256" width="10" style="63"/>
    <col min="257" max="257" width="5" style="63" customWidth="1"/>
    <col min="258" max="258" width="19" style="63" customWidth="1"/>
    <col min="259" max="271" width="9.1640625" style="63" customWidth="1"/>
    <col min="272" max="272" width="9.5" style="63" customWidth="1"/>
    <col min="273" max="512" width="10" style="63"/>
    <col min="513" max="513" width="5" style="63" customWidth="1"/>
    <col min="514" max="514" width="19" style="63" customWidth="1"/>
    <col min="515" max="527" width="9.1640625" style="63" customWidth="1"/>
    <col min="528" max="528" width="9.5" style="63" customWidth="1"/>
    <col min="529" max="768" width="10" style="63"/>
    <col min="769" max="769" width="5" style="63" customWidth="1"/>
    <col min="770" max="770" width="19" style="63" customWidth="1"/>
    <col min="771" max="783" width="9.1640625" style="63" customWidth="1"/>
    <col min="784" max="784" width="9.5" style="63" customWidth="1"/>
    <col min="785" max="1024" width="10" style="63"/>
    <col min="1025" max="1025" width="5" style="63" customWidth="1"/>
    <col min="1026" max="1026" width="19" style="63" customWidth="1"/>
    <col min="1027" max="1039" width="9.1640625" style="63" customWidth="1"/>
    <col min="1040" max="1040" width="9.5" style="63" customWidth="1"/>
    <col min="1041" max="1280" width="10" style="63"/>
    <col min="1281" max="1281" width="5" style="63" customWidth="1"/>
    <col min="1282" max="1282" width="19" style="63" customWidth="1"/>
    <col min="1283" max="1295" width="9.1640625" style="63" customWidth="1"/>
    <col min="1296" max="1296" width="9.5" style="63" customWidth="1"/>
    <col min="1297" max="1536" width="10" style="63"/>
    <col min="1537" max="1537" width="5" style="63" customWidth="1"/>
    <col min="1538" max="1538" width="19" style="63" customWidth="1"/>
    <col min="1539" max="1551" width="9.1640625" style="63" customWidth="1"/>
    <col min="1552" max="1552" width="9.5" style="63" customWidth="1"/>
    <col min="1553" max="1792" width="10" style="63"/>
    <col min="1793" max="1793" width="5" style="63" customWidth="1"/>
    <col min="1794" max="1794" width="19" style="63" customWidth="1"/>
    <col min="1795" max="1807" width="9.1640625" style="63" customWidth="1"/>
    <col min="1808" max="1808" width="9.5" style="63" customWidth="1"/>
    <col min="1809" max="2048" width="10" style="63"/>
    <col min="2049" max="2049" width="5" style="63" customWidth="1"/>
    <col min="2050" max="2050" width="19" style="63" customWidth="1"/>
    <col min="2051" max="2063" width="9.1640625" style="63" customWidth="1"/>
    <col min="2064" max="2064" width="9.5" style="63" customWidth="1"/>
    <col min="2065" max="2304" width="10" style="63"/>
    <col min="2305" max="2305" width="5" style="63" customWidth="1"/>
    <col min="2306" max="2306" width="19" style="63" customWidth="1"/>
    <col min="2307" max="2319" width="9.1640625" style="63" customWidth="1"/>
    <col min="2320" max="2320" width="9.5" style="63" customWidth="1"/>
    <col min="2321" max="2560" width="10" style="63"/>
    <col min="2561" max="2561" width="5" style="63" customWidth="1"/>
    <col min="2562" max="2562" width="19" style="63" customWidth="1"/>
    <col min="2563" max="2575" width="9.1640625" style="63" customWidth="1"/>
    <col min="2576" max="2576" width="9.5" style="63" customWidth="1"/>
    <col min="2577" max="2816" width="10" style="63"/>
    <col min="2817" max="2817" width="5" style="63" customWidth="1"/>
    <col min="2818" max="2818" width="19" style="63" customWidth="1"/>
    <col min="2819" max="2831" width="9.1640625" style="63" customWidth="1"/>
    <col min="2832" max="2832" width="9.5" style="63" customWidth="1"/>
    <col min="2833" max="3072" width="10" style="63"/>
    <col min="3073" max="3073" width="5" style="63" customWidth="1"/>
    <col min="3074" max="3074" width="19" style="63" customWidth="1"/>
    <col min="3075" max="3087" width="9.1640625" style="63" customWidth="1"/>
    <col min="3088" max="3088" width="9.5" style="63" customWidth="1"/>
    <col min="3089" max="3328" width="10" style="63"/>
    <col min="3329" max="3329" width="5" style="63" customWidth="1"/>
    <col min="3330" max="3330" width="19" style="63" customWidth="1"/>
    <col min="3331" max="3343" width="9.1640625" style="63" customWidth="1"/>
    <col min="3344" max="3344" width="9.5" style="63" customWidth="1"/>
    <col min="3345" max="3584" width="10" style="63"/>
    <col min="3585" max="3585" width="5" style="63" customWidth="1"/>
    <col min="3586" max="3586" width="19" style="63" customWidth="1"/>
    <col min="3587" max="3599" width="9.1640625" style="63" customWidth="1"/>
    <col min="3600" max="3600" width="9.5" style="63" customWidth="1"/>
    <col min="3601" max="3840" width="10" style="63"/>
    <col min="3841" max="3841" width="5" style="63" customWidth="1"/>
    <col min="3842" max="3842" width="19" style="63" customWidth="1"/>
    <col min="3843" max="3855" width="9.1640625" style="63" customWidth="1"/>
    <col min="3856" max="3856" width="9.5" style="63" customWidth="1"/>
    <col min="3857" max="4096" width="10" style="63"/>
    <col min="4097" max="4097" width="5" style="63" customWidth="1"/>
    <col min="4098" max="4098" width="19" style="63" customWidth="1"/>
    <col min="4099" max="4111" width="9.1640625" style="63" customWidth="1"/>
    <col min="4112" max="4112" width="9.5" style="63" customWidth="1"/>
    <col min="4113" max="4352" width="10" style="63"/>
    <col min="4353" max="4353" width="5" style="63" customWidth="1"/>
    <col min="4354" max="4354" width="19" style="63" customWidth="1"/>
    <col min="4355" max="4367" width="9.1640625" style="63" customWidth="1"/>
    <col min="4368" max="4368" width="9.5" style="63" customWidth="1"/>
    <col min="4369" max="4608" width="10" style="63"/>
    <col min="4609" max="4609" width="5" style="63" customWidth="1"/>
    <col min="4610" max="4610" width="19" style="63" customWidth="1"/>
    <col min="4611" max="4623" width="9.1640625" style="63" customWidth="1"/>
    <col min="4624" max="4624" width="9.5" style="63" customWidth="1"/>
    <col min="4625" max="4864" width="10" style="63"/>
    <col min="4865" max="4865" width="5" style="63" customWidth="1"/>
    <col min="4866" max="4866" width="19" style="63" customWidth="1"/>
    <col min="4867" max="4879" width="9.1640625" style="63" customWidth="1"/>
    <col min="4880" max="4880" width="9.5" style="63" customWidth="1"/>
    <col min="4881" max="5120" width="10" style="63"/>
    <col min="5121" max="5121" width="5" style="63" customWidth="1"/>
    <col min="5122" max="5122" width="19" style="63" customWidth="1"/>
    <col min="5123" max="5135" width="9.1640625" style="63" customWidth="1"/>
    <col min="5136" max="5136" width="9.5" style="63" customWidth="1"/>
    <col min="5137" max="5376" width="10" style="63"/>
    <col min="5377" max="5377" width="5" style="63" customWidth="1"/>
    <col min="5378" max="5378" width="19" style="63" customWidth="1"/>
    <col min="5379" max="5391" width="9.1640625" style="63" customWidth="1"/>
    <col min="5392" max="5392" width="9.5" style="63" customWidth="1"/>
    <col min="5393" max="5632" width="10" style="63"/>
    <col min="5633" max="5633" width="5" style="63" customWidth="1"/>
    <col min="5634" max="5634" width="19" style="63" customWidth="1"/>
    <col min="5635" max="5647" width="9.1640625" style="63" customWidth="1"/>
    <col min="5648" max="5648" width="9.5" style="63" customWidth="1"/>
    <col min="5649" max="5888" width="10" style="63"/>
    <col min="5889" max="5889" width="5" style="63" customWidth="1"/>
    <col min="5890" max="5890" width="19" style="63" customWidth="1"/>
    <col min="5891" max="5903" width="9.1640625" style="63" customWidth="1"/>
    <col min="5904" max="5904" width="9.5" style="63" customWidth="1"/>
    <col min="5905" max="6144" width="10" style="63"/>
    <col min="6145" max="6145" width="5" style="63" customWidth="1"/>
    <col min="6146" max="6146" width="19" style="63" customWidth="1"/>
    <col min="6147" max="6159" width="9.1640625" style="63" customWidth="1"/>
    <col min="6160" max="6160" width="9.5" style="63" customWidth="1"/>
    <col min="6161" max="6400" width="10" style="63"/>
    <col min="6401" max="6401" width="5" style="63" customWidth="1"/>
    <col min="6402" max="6402" width="19" style="63" customWidth="1"/>
    <col min="6403" max="6415" width="9.1640625" style="63" customWidth="1"/>
    <col min="6416" max="6416" width="9.5" style="63" customWidth="1"/>
    <col min="6417" max="6656" width="10" style="63"/>
    <col min="6657" max="6657" width="5" style="63" customWidth="1"/>
    <col min="6658" max="6658" width="19" style="63" customWidth="1"/>
    <col min="6659" max="6671" width="9.1640625" style="63" customWidth="1"/>
    <col min="6672" max="6672" width="9.5" style="63" customWidth="1"/>
    <col min="6673" max="6912" width="10" style="63"/>
    <col min="6913" max="6913" width="5" style="63" customWidth="1"/>
    <col min="6914" max="6914" width="19" style="63" customWidth="1"/>
    <col min="6915" max="6927" width="9.1640625" style="63" customWidth="1"/>
    <col min="6928" max="6928" width="9.5" style="63" customWidth="1"/>
    <col min="6929" max="7168" width="10" style="63"/>
    <col min="7169" max="7169" width="5" style="63" customWidth="1"/>
    <col min="7170" max="7170" width="19" style="63" customWidth="1"/>
    <col min="7171" max="7183" width="9.1640625" style="63" customWidth="1"/>
    <col min="7184" max="7184" width="9.5" style="63" customWidth="1"/>
    <col min="7185" max="7424" width="10" style="63"/>
    <col min="7425" max="7425" width="5" style="63" customWidth="1"/>
    <col min="7426" max="7426" width="19" style="63" customWidth="1"/>
    <col min="7427" max="7439" width="9.1640625" style="63" customWidth="1"/>
    <col min="7440" max="7440" width="9.5" style="63" customWidth="1"/>
    <col min="7441" max="7680" width="10" style="63"/>
    <col min="7681" max="7681" width="5" style="63" customWidth="1"/>
    <col min="7682" max="7682" width="19" style="63" customWidth="1"/>
    <col min="7683" max="7695" width="9.1640625" style="63" customWidth="1"/>
    <col min="7696" max="7696" width="9.5" style="63" customWidth="1"/>
    <col min="7697" max="7936" width="10" style="63"/>
    <col min="7937" max="7937" width="5" style="63" customWidth="1"/>
    <col min="7938" max="7938" width="19" style="63" customWidth="1"/>
    <col min="7939" max="7951" width="9.1640625" style="63" customWidth="1"/>
    <col min="7952" max="7952" width="9.5" style="63" customWidth="1"/>
    <col min="7953" max="8192" width="10" style="63"/>
    <col min="8193" max="8193" width="5" style="63" customWidth="1"/>
    <col min="8194" max="8194" width="19" style="63" customWidth="1"/>
    <col min="8195" max="8207" width="9.1640625" style="63" customWidth="1"/>
    <col min="8208" max="8208" width="9.5" style="63" customWidth="1"/>
    <col min="8209" max="8448" width="10" style="63"/>
    <col min="8449" max="8449" width="5" style="63" customWidth="1"/>
    <col min="8450" max="8450" width="19" style="63" customWidth="1"/>
    <col min="8451" max="8463" width="9.1640625" style="63" customWidth="1"/>
    <col min="8464" max="8464" width="9.5" style="63" customWidth="1"/>
    <col min="8465" max="8704" width="10" style="63"/>
    <col min="8705" max="8705" width="5" style="63" customWidth="1"/>
    <col min="8706" max="8706" width="19" style="63" customWidth="1"/>
    <col min="8707" max="8719" width="9.1640625" style="63" customWidth="1"/>
    <col min="8720" max="8720" width="9.5" style="63" customWidth="1"/>
    <col min="8721" max="8960" width="10" style="63"/>
    <col min="8961" max="8961" width="5" style="63" customWidth="1"/>
    <col min="8962" max="8962" width="19" style="63" customWidth="1"/>
    <col min="8963" max="8975" width="9.1640625" style="63" customWidth="1"/>
    <col min="8976" max="8976" width="9.5" style="63" customWidth="1"/>
    <col min="8977" max="9216" width="10" style="63"/>
    <col min="9217" max="9217" width="5" style="63" customWidth="1"/>
    <col min="9218" max="9218" width="19" style="63" customWidth="1"/>
    <col min="9219" max="9231" width="9.1640625" style="63" customWidth="1"/>
    <col min="9232" max="9232" width="9.5" style="63" customWidth="1"/>
    <col min="9233" max="9472" width="10" style="63"/>
    <col min="9473" max="9473" width="5" style="63" customWidth="1"/>
    <col min="9474" max="9474" width="19" style="63" customWidth="1"/>
    <col min="9475" max="9487" width="9.1640625" style="63" customWidth="1"/>
    <col min="9488" max="9488" width="9.5" style="63" customWidth="1"/>
    <col min="9489" max="9728" width="10" style="63"/>
    <col min="9729" max="9729" width="5" style="63" customWidth="1"/>
    <col min="9730" max="9730" width="19" style="63" customWidth="1"/>
    <col min="9731" max="9743" width="9.1640625" style="63" customWidth="1"/>
    <col min="9744" max="9744" width="9.5" style="63" customWidth="1"/>
    <col min="9745" max="9984" width="10" style="63"/>
    <col min="9985" max="9985" width="5" style="63" customWidth="1"/>
    <col min="9986" max="9986" width="19" style="63" customWidth="1"/>
    <col min="9987" max="9999" width="9.1640625" style="63" customWidth="1"/>
    <col min="10000" max="10000" width="9.5" style="63" customWidth="1"/>
    <col min="10001" max="10240" width="10" style="63"/>
    <col min="10241" max="10241" width="5" style="63" customWidth="1"/>
    <col min="10242" max="10242" width="19" style="63" customWidth="1"/>
    <col min="10243" max="10255" width="9.1640625" style="63" customWidth="1"/>
    <col min="10256" max="10256" width="9.5" style="63" customWidth="1"/>
    <col min="10257" max="10496" width="10" style="63"/>
    <col min="10497" max="10497" width="5" style="63" customWidth="1"/>
    <col min="10498" max="10498" width="19" style="63" customWidth="1"/>
    <col min="10499" max="10511" width="9.1640625" style="63" customWidth="1"/>
    <col min="10512" max="10512" width="9.5" style="63" customWidth="1"/>
    <col min="10513" max="10752" width="10" style="63"/>
    <col min="10753" max="10753" width="5" style="63" customWidth="1"/>
    <col min="10754" max="10754" width="19" style="63" customWidth="1"/>
    <col min="10755" max="10767" width="9.1640625" style="63" customWidth="1"/>
    <col min="10768" max="10768" width="9.5" style="63" customWidth="1"/>
    <col min="10769" max="11008" width="10" style="63"/>
    <col min="11009" max="11009" width="5" style="63" customWidth="1"/>
    <col min="11010" max="11010" width="19" style="63" customWidth="1"/>
    <col min="11011" max="11023" width="9.1640625" style="63" customWidth="1"/>
    <col min="11024" max="11024" width="9.5" style="63" customWidth="1"/>
    <col min="11025" max="11264" width="10" style="63"/>
    <col min="11265" max="11265" width="5" style="63" customWidth="1"/>
    <col min="11266" max="11266" width="19" style="63" customWidth="1"/>
    <col min="11267" max="11279" width="9.1640625" style="63" customWidth="1"/>
    <col min="11280" max="11280" width="9.5" style="63" customWidth="1"/>
    <col min="11281" max="11520" width="10" style="63"/>
    <col min="11521" max="11521" width="5" style="63" customWidth="1"/>
    <col min="11522" max="11522" width="19" style="63" customWidth="1"/>
    <col min="11523" max="11535" width="9.1640625" style="63" customWidth="1"/>
    <col min="11536" max="11536" width="9.5" style="63" customWidth="1"/>
    <col min="11537" max="11776" width="10" style="63"/>
    <col min="11777" max="11777" width="5" style="63" customWidth="1"/>
    <col min="11778" max="11778" width="19" style="63" customWidth="1"/>
    <col min="11779" max="11791" width="9.1640625" style="63" customWidth="1"/>
    <col min="11792" max="11792" width="9.5" style="63" customWidth="1"/>
    <col min="11793" max="12032" width="10" style="63"/>
    <col min="12033" max="12033" width="5" style="63" customWidth="1"/>
    <col min="12034" max="12034" width="19" style="63" customWidth="1"/>
    <col min="12035" max="12047" width="9.1640625" style="63" customWidth="1"/>
    <col min="12048" max="12048" width="9.5" style="63" customWidth="1"/>
    <col min="12049" max="12288" width="10" style="63"/>
    <col min="12289" max="12289" width="5" style="63" customWidth="1"/>
    <col min="12290" max="12290" width="19" style="63" customWidth="1"/>
    <col min="12291" max="12303" width="9.1640625" style="63" customWidth="1"/>
    <col min="12304" max="12304" width="9.5" style="63" customWidth="1"/>
    <col min="12305" max="12544" width="10" style="63"/>
    <col min="12545" max="12545" width="5" style="63" customWidth="1"/>
    <col min="12546" max="12546" width="19" style="63" customWidth="1"/>
    <col min="12547" max="12559" width="9.1640625" style="63" customWidth="1"/>
    <col min="12560" max="12560" width="9.5" style="63" customWidth="1"/>
    <col min="12561" max="12800" width="10" style="63"/>
    <col min="12801" max="12801" width="5" style="63" customWidth="1"/>
    <col min="12802" max="12802" width="19" style="63" customWidth="1"/>
    <col min="12803" max="12815" width="9.1640625" style="63" customWidth="1"/>
    <col min="12816" max="12816" width="9.5" style="63" customWidth="1"/>
    <col min="12817" max="13056" width="10" style="63"/>
    <col min="13057" max="13057" width="5" style="63" customWidth="1"/>
    <col min="13058" max="13058" width="19" style="63" customWidth="1"/>
    <col min="13059" max="13071" width="9.1640625" style="63" customWidth="1"/>
    <col min="13072" max="13072" width="9.5" style="63" customWidth="1"/>
    <col min="13073" max="13312" width="10" style="63"/>
    <col min="13313" max="13313" width="5" style="63" customWidth="1"/>
    <col min="13314" max="13314" width="19" style="63" customWidth="1"/>
    <col min="13315" max="13327" width="9.1640625" style="63" customWidth="1"/>
    <col min="13328" max="13328" width="9.5" style="63" customWidth="1"/>
    <col min="13329" max="13568" width="10" style="63"/>
    <col min="13569" max="13569" width="5" style="63" customWidth="1"/>
    <col min="13570" max="13570" width="19" style="63" customWidth="1"/>
    <col min="13571" max="13583" width="9.1640625" style="63" customWidth="1"/>
    <col min="13584" max="13584" width="9.5" style="63" customWidth="1"/>
    <col min="13585" max="13824" width="10" style="63"/>
    <col min="13825" max="13825" width="5" style="63" customWidth="1"/>
    <col min="13826" max="13826" width="19" style="63" customWidth="1"/>
    <col min="13827" max="13839" width="9.1640625" style="63" customWidth="1"/>
    <col min="13840" max="13840" width="9.5" style="63" customWidth="1"/>
    <col min="13841" max="14080" width="10" style="63"/>
    <col min="14081" max="14081" width="5" style="63" customWidth="1"/>
    <col min="14082" max="14082" width="19" style="63" customWidth="1"/>
    <col min="14083" max="14095" width="9.1640625" style="63" customWidth="1"/>
    <col min="14096" max="14096" width="9.5" style="63" customWidth="1"/>
    <col min="14097" max="14336" width="10" style="63"/>
    <col min="14337" max="14337" width="5" style="63" customWidth="1"/>
    <col min="14338" max="14338" width="19" style="63" customWidth="1"/>
    <col min="14339" max="14351" width="9.1640625" style="63" customWidth="1"/>
    <col min="14352" max="14352" width="9.5" style="63" customWidth="1"/>
    <col min="14353" max="14592" width="10" style="63"/>
    <col min="14593" max="14593" width="5" style="63" customWidth="1"/>
    <col min="14594" max="14594" width="19" style="63" customWidth="1"/>
    <col min="14595" max="14607" width="9.1640625" style="63" customWidth="1"/>
    <col min="14608" max="14608" width="9.5" style="63" customWidth="1"/>
    <col min="14609" max="14848" width="10" style="63"/>
    <col min="14849" max="14849" width="5" style="63" customWidth="1"/>
    <col min="14850" max="14850" width="19" style="63" customWidth="1"/>
    <col min="14851" max="14863" width="9.1640625" style="63" customWidth="1"/>
    <col min="14864" max="14864" width="9.5" style="63" customWidth="1"/>
    <col min="14865" max="15104" width="10" style="63"/>
    <col min="15105" max="15105" width="5" style="63" customWidth="1"/>
    <col min="15106" max="15106" width="19" style="63" customWidth="1"/>
    <col min="15107" max="15119" width="9.1640625" style="63" customWidth="1"/>
    <col min="15120" max="15120" width="9.5" style="63" customWidth="1"/>
    <col min="15121" max="15360" width="10" style="63"/>
    <col min="15361" max="15361" width="5" style="63" customWidth="1"/>
    <col min="15362" max="15362" width="19" style="63" customWidth="1"/>
    <col min="15363" max="15375" width="9.1640625" style="63" customWidth="1"/>
    <col min="15376" max="15376" width="9.5" style="63" customWidth="1"/>
    <col min="15377" max="15616" width="10" style="63"/>
    <col min="15617" max="15617" width="5" style="63" customWidth="1"/>
    <col min="15618" max="15618" width="19" style="63" customWidth="1"/>
    <col min="15619" max="15631" width="9.1640625" style="63" customWidth="1"/>
    <col min="15632" max="15632" width="9.5" style="63" customWidth="1"/>
    <col min="15633" max="15872" width="10" style="63"/>
    <col min="15873" max="15873" width="5" style="63" customWidth="1"/>
    <col min="15874" max="15874" width="19" style="63" customWidth="1"/>
    <col min="15875" max="15887" width="9.1640625" style="63" customWidth="1"/>
    <col min="15888" max="15888" width="9.5" style="63" customWidth="1"/>
    <col min="15889" max="16128" width="10" style="63"/>
    <col min="16129" max="16129" width="5" style="63" customWidth="1"/>
    <col min="16130" max="16130" width="19" style="63" customWidth="1"/>
    <col min="16131" max="16143" width="9.1640625" style="63" customWidth="1"/>
    <col min="16144" max="16144" width="9.5" style="63" customWidth="1"/>
    <col min="16145" max="16384" width="10" style="63"/>
  </cols>
  <sheetData>
    <row r="1" spans="1:16" ht="21" customHeight="1" x14ac:dyDescent="0.2">
      <c r="A1" s="818" t="s">
        <v>214</v>
      </c>
      <c r="B1" s="818"/>
      <c r="C1" s="818"/>
      <c r="D1" s="818"/>
      <c r="E1" s="818"/>
      <c r="F1" s="818"/>
      <c r="G1" s="818"/>
      <c r="H1" s="818"/>
      <c r="I1" s="818"/>
      <c r="J1" s="818"/>
      <c r="K1" s="62"/>
      <c r="M1" s="63" t="s">
        <v>215</v>
      </c>
      <c r="P1" s="63"/>
    </row>
    <row r="2" spans="1:16" s="67" customFormat="1" ht="21" customHeight="1" x14ac:dyDescent="0.2">
      <c r="A2" s="64" t="s">
        <v>216</v>
      </c>
      <c r="B2" s="64" t="s">
        <v>217</v>
      </c>
      <c r="C2" s="65" t="s">
        <v>218</v>
      </c>
      <c r="D2" s="65" t="s">
        <v>219</v>
      </c>
      <c r="E2" s="65" t="s">
        <v>220</v>
      </c>
      <c r="F2" s="65" t="s">
        <v>221</v>
      </c>
      <c r="G2" s="65" t="s">
        <v>222</v>
      </c>
      <c r="H2" s="65" t="s">
        <v>223</v>
      </c>
      <c r="I2" s="65" t="s">
        <v>224</v>
      </c>
      <c r="J2" s="65" t="s">
        <v>225</v>
      </c>
      <c r="K2" s="65" t="s">
        <v>226</v>
      </c>
      <c r="L2" s="65" t="s">
        <v>227</v>
      </c>
      <c r="M2" s="65" t="s">
        <v>228</v>
      </c>
      <c r="N2" s="65" t="s">
        <v>229</v>
      </c>
      <c r="O2" s="65" t="s">
        <v>230</v>
      </c>
      <c r="P2" s="66" t="s">
        <v>231</v>
      </c>
    </row>
    <row r="3" spans="1:16" ht="23.25" customHeight="1" x14ac:dyDescent="0.2">
      <c r="A3" s="68">
        <v>1</v>
      </c>
      <c r="B3" s="69" t="s">
        <v>232</v>
      </c>
      <c r="C3" s="69">
        <v>10</v>
      </c>
      <c r="D3" s="69"/>
      <c r="E3" s="69"/>
      <c r="F3" s="69">
        <f>0.4*C3*1/10</f>
        <v>0.4</v>
      </c>
      <c r="G3" s="69">
        <f>4.2*C3*1/10</f>
        <v>4.2</v>
      </c>
      <c r="H3" s="69">
        <f>5.9*C3*1/10</f>
        <v>5.9</v>
      </c>
      <c r="I3" s="69">
        <f>3.3*C3*1/10</f>
        <v>3.3</v>
      </c>
      <c r="J3" s="69">
        <f>3*C3*1/10</f>
        <v>3</v>
      </c>
      <c r="K3" s="69">
        <f>1.8*C3*1/10</f>
        <v>1.8</v>
      </c>
      <c r="L3" s="69">
        <f>2.9*C3*1/10</f>
        <v>2.9</v>
      </c>
      <c r="M3" s="69">
        <f>2.7*C3*1/10</f>
        <v>2.7</v>
      </c>
      <c r="N3" s="69">
        <f>0.4*C3*1/10</f>
        <v>0.4</v>
      </c>
      <c r="O3" s="69">
        <f>0.2*C3*1/10</f>
        <v>0.2</v>
      </c>
      <c r="P3" s="70">
        <f>SUM(D3:O3)</f>
        <v>24.799999999999997</v>
      </c>
    </row>
    <row r="4" spans="1:16" ht="23.25" customHeight="1" x14ac:dyDescent="0.2">
      <c r="A4" s="71">
        <v>2</v>
      </c>
      <c r="B4" s="72" t="s">
        <v>233</v>
      </c>
      <c r="C4" s="73">
        <v>10</v>
      </c>
      <c r="D4" s="72"/>
      <c r="E4" s="72"/>
      <c r="F4" s="72">
        <f>0.2*C4*1/10</f>
        <v>0.2</v>
      </c>
      <c r="G4" s="72">
        <f>2.6*C4*1/10</f>
        <v>2.6</v>
      </c>
      <c r="H4" s="72">
        <f>6.1*C4*1/10</f>
        <v>6.1</v>
      </c>
      <c r="I4" s="72">
        <f>2.7*C4*1/10</f>
        <v>2.7</v>
      </c>
      <c r="J4" s="72">
        <f>3*C4*1/10</f>
        <v>3</v>
      </c>
      <c r="K4" s="72">
        <f>1.2*C4*1/10</f>
        <v>1.2</v>
      </c>
      <c r="L4" s="72">
        <f>2.3*C4*1/10</f>
        <v>2.2999999999999998</v>
      </c>
      <c r="M4" s="72">
        <f>0.3*C4*1/10</f>
        <v>0.3</v>
      </c>
      <c r="N4" s="72">
        <f>0.3*C4*1/10</f>
        <v>0.3</v>
      </c>
      <c r="O4" s="72"/>
      <c r="P4" s="74">
        <f t="shared" ref="P4:P67" si="0">SUM(D4:O4)</f>
        <v>18.700000000000003</v>
      </c>
    </row>
    <row r="5" spans="1:16" ht="23.25" customHeight="1" x14ac:dyDescent="0.2">
      <c r="A5" s="71">
        <v>3</v>
      </c>
      <c r="B5" s="73" t="s">
        <v>234</v>
      </c>
      <c r="C5" s="73">
        <v>10</v>
      </c>
      <c r="D5" s="73">
        <f>0.2*C5*1/10</f>
        <v>0.2</v>
      </c>
      <c r="E5" s="73">
        <f>0.4*C5*1/10</f>
        <v>0.4</v>
      </c>
      <c r="F5" s="73">
        <f>0.2*C5*1/10</f>
        <v>0.2</v>
      </c>
      <c r="G5" s="73">
        <f>2.3*C5*1/10</f>
        <v>2.2999999999999998</v>
      </c>
      <c r="H5" s="73">
        <f>2.9*C5*1/10</f>
        <v>2.9</v>
      </c>
      <c r="I5" s="73">
        <f>2.2*C5*1/10</f>
        <v>2.2000000000000002</v>
      </c>
      <c r="J5" s="73">
        <f>2.4*C5*1/10</f>
        <v>2.4</v>
      </c>
      <c r="K5" s="73">
        <f>1.4*C5*1/10</f>
        <v>1.4</v>
      </c>
      <c r="L5" s="73">
        <f>2.4*C5*1/10</f>
        <v>2.4</v>
      </c>
      <c r="M5" s="73">
        <f>1.3*C5*1/10</f>
        <v>1.3</v>
      </c>
      <c r="N5" s="73">
        <f>0.1*C5*1/10</f>
        <v>0.1</v>
      </c>
      <c r="O5" s="73">
        <f>0.1*C5*1/10</f>
        <v>0.1</v>
      </c>
      <c r="P5" s="74">
        <f t="shared" si="0"/>
        <v>15.9</v>
      </c>
    </row>
    <row r="6" spans="1:16" ht="23.25" customHeight="1" x14ac:dyDescent="0.2">
      <c r="A6" s="71">
        <v>4</v>
      </c>
      <c r="B6" s="73" t="s">
        <v>235</v>
      </c>
      <c r="C6" s="73">
        <v>10</v>
      </c>
      <c r="D6" s="73"/>
      <c r="E6" s="73"/>
      <c r="F6" s="73">
        <f>0.3*C6*1/10</f>
        <v>0.3</v>
      </c>
      <c r="G6" s="73">
        <f>2.5*C6*1/10</f>
        <v>2.5</v>
      </c>
      <c r="H6" s="73">
        <f>4.6*C6*1/10</f>
        <v>4.5999999999999996</v>
      </c>
      <c r="I6" s="73">
        <f>0.2*C6*1/10</f>
        <v>0.2</v>
      </c>
      <c r="J6" s="73"/>
      <c r="K6" s="73"/>
      <c r="L6" s="73">
        <f>0.2*C6*1/10</f>
        <v>0.2</v>
      </c>
      <c r="M6" s="73">
        <f>3.4*C6*1/10</f>
        <v>3.4</v>
      </c>
      <c r="N6" s="73"/>
      <c r="O6" s="73"/>
      <c r="P6" s="74">
        <f t="shared" si="0"/>
        <v>11.2</v>
      </c>
    </row>
    <row r="7" spans="1:16" ht="23.25" customHeight="1" x14ac:dyDescent="0.2">
      <c r="A7" s="71">
        <v>5</v>
      </c>
      <c r="B7" s="73" t="s">
        <v>236</v>
      </c>
      <c r="C7" s="73">
        <v>10</v>
      </c>
      <c r="D7" s="73"/>
      <c r="E7" s="73"/>
      <c r="F7" s="73"/>
      <c r="G7" s="73"/>
      <c r="H7" s="73"/>
      <c r="I7" s="73">
        <f>5.9*C7*1/10</f>
        <v>5.9</v>
      </c>
      <c r="J7" s="73">
        <f>2*C7*1/10</f>
        <v>2</v>
      </c>
      <c r="K7" s="73">
        <f>1.4*C7*1/10</f>
        <v>1.4</v>
      </c>
      <c r="L7" s="73">
        <f>1.4*C7*1/10</f>
        <v>1.4</v>
      </c>
      <c r="M7" s="73">
        <f>2.3*C7*1/10</f>
        <v>2.2999999999999998</v>
      </c>
      <c r="N7" s="73"/>
      <c r="O7" s="73"/>
      <c r="P7" s="74">
        <f t="shared" si="0"/>
        <v>13</v>
      </c>
    </row>
    <row r="8" spans="1:16" ht="23.25" customHeight="1" x14ac:dyDescent="0.2">
      <c r="A8" s="71">
        <v>6</v>
      </c>
      <c r="B8" s="73" t="s">
        <v>237</v>
      </c>
      <c r="C8" s="73">
        <v>10</v>
      </c>
      <c r="D8" s="73"/>
      <c r="E8" s="73"/>
      <c r="F8" s="73"/>
      <c r="G8" s="73"/>
      <c r="H8" s="73">
        <f>1.2*C8*1/10</f>
        <v>1.2</v>
      </c>
      <c r="I8" s="73">
        <f>1.7*C8*1/10</f>
        <v>1.7</v>
      </c>
      <c r="J8" s="73">
        <f>1.5*C8*1/10</f>
        <v>1.5</v>
      </c>
      <c r="K8" s="73">
        <f>0.9*C8*1/10</f>
        <v>0.9</v>
      </c>
      <c r="L8" s="73">
        <f>0.6*C8*1/10</f>
        <v>0.6</v>
      </c>
      <c r="M8" s="73">
        <f>1.1*C8*1/10</f>
        <v>1.1000000000000001</v>
      </c>
      <c r="N8" s="73">
        <f>4.9*C8*1/10</f>
        <v>4.9000000000000004</v>
      </c>
      <c r="O8" s="73">
        <f>1.8*C8*1/10</f>
        <v>1.8</v>
      </c>
      <c r="P8" s="74">
        <f t="shared" si="0"/>
        <v>13.700000000000001</v>
      </c>
    </row>
    <row r="9" spans="1:16" ht="23.25" customHeight="1" x14ac:dyDescent="0.2">
      <c r="A9" s="71">
        <v>7</v>
      </c>
      <c r="B9" s="73" t="s">
        <v>238</v>
      </c>
      <c r="C9" s="73">
        <v>10</v>
      </c>
      <c r="D9" s="73"/>
      <c r="E9" s="73"/>
      <c r="F9" s="73">
        <f>0.3*C9*1/10</f>
        <v>0.3</v>
      </c>
      <c r="G9" s="73">
        <f>0.3*C9*1/10</f>
        <v>0.3</v>
      </c>
      <c r="H9" s="73"/>
      <c r="I9" s="73">
        <f>1.5*C9*1/10</f>
        <v>1.5</v>
      </c>
      <c r="J9" s="73">
        <f>1.5*C9*1/10</f>
        <v>1.5</v>
      </c>
      <c r="K9" s="73"/>
      <c r="L9" s="73">
        <f>1.2*C9*1/10</f>
        <v>1.2</v>
      </c>
      <c r="M9" s="73">
        <f>2.8*C9*1/10</f>
        <v>2.8</v>
      </c>
      <c r="N9" s="73"/>
      <c r="O9" s="73"/>
      <c r="P9" s="74">
        <f t="shared" si="0"/>
        <v>7.6</v>
      </c>
    </row>
    <row r="10" spans="1:16" ht="23.25" customHeight="1" x14ac:dyDescent="0.2">
      <c r="A10" s="71">
        <v>8</v>
      </c>
      <c r="B10" s="73" t="s">
        <v>239</v>
      </c>
      <c r="C10" s="73">
        <v>10</v>
      </c>
      <c r="D10" s="73"/>
      <c r="E10" s="73"/>
      <c r="F10" s="73"/>
      <c r="G10" s="73"/>
      <c r="H10" s="73"/>
      <c r="I10" s="73"/>
      <c r="J10" s="73">
        <f>3.6*C10*1/10</f>
        <v>3.6</v>
      </c>
      <c r="K10" s="73">
        <f>1.5*C10*1/10</f>
        <v>1.5</v>
      </c>
      <c r="L10" s="73"/>
      <c r="M10" s="73"/>
      <c r="N10" s="73"/>
      <c r="O10" s="73"/>
      <c r="P10" s="74">
        <f t="shared" si="0"/>
        <v>5.0999999999999996</v>
      </c>
    </row>
    <row r="11" spans="1:16" ht="23.25" customHeight="1" x14ac:dyDescent="0.2">
      <c r="A11" s="71">
        <v>9</v>
      </c>
      <c r="B11" s="73" t="s">
        <v>240</v>
      </c>
      <c r="C11" s="73">
        <v>10</v>
      </c>
      <c r="D11" s="73">
        <f>40.5*C11*1/10</f>
        <v>40.5</v>
      </c>
      <c r="E11" s="73">
        <f>43.2*C11*1/10</f>
        <v>43.2</v>
      </c>
      <c r="F11" s="73">
        <f>40.7*C11*1/10</f>
        <v>40.700000000000003</v>
      </c>
      <c r="G11" s="73">
        <f>22.7*C11*1/10</f>
        <v>22.7</v>
      </c>
      <c r="H11" s="73">
        <f>3.6*C11*1/10</f>
        <v>3.6</v>
      </c>
      <c r="I11" s="73">
        <f>2.7*C11*1/10</f>
        <v>2.7</v>
      </c>
      <c r="J11" s="73">
        <f>2.1*C11*1/10</f>
        <v>2.1</v>
      </c>
      <c r="K11" s="73">
        <f>2.1*C11*1/10</f>
        <v>2.1</v>
      </c>
      <c r="L11" s="73"/>
      <c r="M11" s="73">
        <f>2.2*C11*1/10</f>
        <v>2.2000000000000002</v>
      </c>
      <c r="N11" s="73">
        <f>31.9*C11*1/10</f>
        <v>31.9</v>
      </c>
      <c r="O11" s="73">
        <f>34*C11*1/10</f>
        <v>34</v>
      </c>
      <c r="P11" s="74">
        <f t="shared" si="0"/>
        <v>225.69999999999996</v>
      </c>
    </row>
    <row r="12" spans="1:16" ht="23.25" customHeight="1" x14ac:dyDescent="0.2">
      <c r="A12" s="71">
        <v>10</v>
      </c>
      <c r="B12" s="75" t="s">
        <v>241</v>
      </c>
      <c r="C12" s="73">
        <v>10</v>
      </c>
      <c r="D12" s="73"/>
      <c r="E12" s="73"/>
      <c r="F12" s="73"/>
      <c r="G12" s="73">
        <f>10*C12/10</f>
        <v>10</v>
      </c>
      <c r="H12" s="73">
        <f>32*C12/10</f>
        <v>32</v>
      </c>
      <c r="I12" s="73">
        <f>24*C12/10</f>
        <v>24</v>
      </c>
      <c r="J12" s="73">
        <f>68*C12/10</f>
        <v>68</v>
      </c>
      <c r="K12" s="73">
        <f>2*C12/10</f>
        <v>2</v>
      </c>
      <c r="L12" s="73">
        <f>2*C12/10</f>
        <v>2</v>
      </c>
      <c r="M12" s="73"/>
      <c r="N12" s="73"/>
      <c r="O12" s="73"/>
      <c r="P12" s="74">
        <f t="shared" si="0"/>
        <v>138</v>
      </c>
    </row>
    <row r="13" spans="1:16" ht="23.25" customHeight="1" x14ac:dyDescent="0.2">
      <c r="A13" s="71">
        <v>11</v>
      </c>
      <c r="B13" s="75" t="s">
        <v>242</v>
      </c>
      <c r="C13" s="73">
        <v>10</v>
      </c>
      <c r="D13" s="73"/>
      <c r="E13" s="73"/>
      <c r="F13" s="73"/>
      <c r="G13" s="73"/>
      <c r="H13" s="73"/>
      <c r="I13" s="73"/>
      <c r="J13" s="73">
        <f>24*C13/10</f>
        <v>24</v>
      </c>
      <c r="K13" s="73">
        <f>22*C13/10</f>
        <v>22</v>
      </c>
      <c r="L13" s="73">
        <f>13*C13/10</f>
        <v>13</v>
      </c>
      <c r="M13" s="73">
        <f>66*C13/10</f>
        <v>66</v>
      </c>
      <c r="N13" s="73">
        <f>2*C13/10</f>
        <v>2</v>
      </c>
      <c r="O13" s="73"/>
      <c r="P13" s="74">
        <f>SUM(D13:O13)</f>
        <v>127</v>
      </c>
    </row>
    <row r="14" spans="1:16" ht="23.25" customHeight="1" x14ac:dyDescent="0.2">
      <c r="A14" s="71">
        <v>12</v>
      </c>
      <c r="B14" s="75" t="s">
        <v>243</v>
      </c>
      <c r="C14" s="73">
        <v>10</v>
      </c>
      <c r="D14" s="73"/>
      <c r="E14" s="73"/>
      <c r="F14" s="73">
        <f>2*C14*1/10</f>
        <v>2</v>
      </c>
      <c r="G14" s="73"/>
      <c r="H14" s="73"/>
      <c r="I14" s="73"/>
      <c r="J14" s="73">
        <f>8*C14/10</f>
        <v>8</v>
      </c>
      <c r="K14" s="73">
        <f>44*C14/10</f>
        <v>44</v>
      </c>
      <c r="L14" s="73">
        <f>25*C14/10</f>
        <v>25</v>
      </c>
      <c r="M14" s="73">
        <f>2*C14/10</f>
        <v>2</v>
      </c>
      <c r="N14" s="73">
        <f>40*C14/10</f>
        <v>40</v>
      </c>
      <c r="O14" s="73">
        <f>20*C14/10</f>
        <v>20</v>
      </c>
      <c r="P14" s="74">
        <f t="shared" si="0"/>
        <v>141</v>
      </c>
    </row>
    <row r="15" spans="1:16" ht="23.25" customHeight="1" x14ac:dyDescent="0.2">
      <c r="A15" s="71">
        <v>13</v>
      </c>
      <c r="B15" s="75" t="s">
        <v>244</v>
      </c>
      <c r="C15" s="73">
        <v>10</v>
      </c>
      <c r="D15" s="73"/>
      <c r="E15" s="73">
        <f>17*C15*1/10</f>
        <v>17</v>
      </c>
      <c r="F15" s="73">
        <f>31*C15*1/10</f>
        <v>31</v>
      </c>
      <c r="G15" s="73">
        <f>59*C15*1/10</f>
        <v>59</v>
      </c>
      <c r="H15" s="73">
        <f>64*C15*1/10</f>
        <v>64</v>
      </c>
      <c r="I15" s="73">
        <f>4*C15*1/10</f>
        <v>4</v>
      </c>
      <c r="J15" s="73"/>
      <c r="K15" s="73"/>
      <c r="L15" s="73"/>
      <c r="M15" s="73"/>
      <c r="N15" s="73"/>
      <c r="O15" s="73"/>
      <c r="P15" s="74">
        <f t="shared" si="0"/>
        <v>175</v>
      </c>
    </row>
    <row r="16" spans="1:16" ht="23.25" customHeight="1" x14ac:dyDescent="0.2">
      <c r="A16" s="71">
        <v>14</v>
      </c>
      <c r="B16" s="75" t="s">
        <v>245</v>
      </c>
      <c r="C16" s="73">
        <v>10</v>
      </c>
      <c r="D16" s="73"/>
      <c r="E16" s="73">
        <f>29*C16*1/10</f>
        <v>29</v>
      </c>
      <c r="F16" s="73">
        <f>46*C16*1/10</f>
        <v>46</v>
      </c>
      <c r="G16" s="73">
        <f>51*C16*1/10</f>
        <v>51</v>
      </c>
      <c r="H16" s="73">
        <f>103*C16*1/10</f>
        <v>103</v>
      </c>
      <c r="I16" s="73"/>
      <c r="J16" s="73"/>
      <c r="K16" s="73"/>
      <c r="L16" s="73"/>
      <c r="M16" s="73"/>
      <c r="N16" s="73"/>
      <c r="O16" s="73"/>
      <c r="P16" s="74">
        <f t="shared" si="0"/>
        <v>229</v>
      </c>
    </row>
    <row r="17" spans="1:16" ht="23.25" customHeight="1" x14ac:dyDescent="0.2">
      <c r="A17" s="71">
        <v>15</v>
      </c>
      <c r="B17" s="75" t="s">
        <v>246</v>
      </c>
      <c r="C17" s="73">
        <v>10</v>
      </c>
      <c r="D17" s="73"/>
      <c r="E17" s="73"/>
      <c r="F17" s="73"/>
      <c r="G17" s="73"/>
      <c r="H17" s="73"/>
      <c r="I17" s="73">
        <f>52*C17/10</f>
        <v>52</v>
      </c>
      <c r="J17" s="73">
        <f>8*C17/10</f>
        <v>8</v>
      </c>
      <c r="K17" s="73">
        <f>92*C17/10</f>
        <v>92</v>
      </c>
      <c r="L17" s="73"/>
      <c r="M17" s="73"/>
      <c r="N17" s="73"/>
      <c r="O17" s="73"/>
      <c r="P17" s="74">
        <f t="shared" si="0"/>
        <v>152</v>
      </c>
    </row>
    <row r="18" spans="1:16" ht="23.25" customHeight="1" x14ac:dyDescent="0.2">
      <c r="A18" s="71">
        <v>16</v>
      </c>
      <c r="B18" s="75" t="s">
        <v>247</v>
      </c>
      <c r="C18" s="73">
        <v>10</v>
      </c>
      <c r="D18" s="73"/>
      <c r="E18" s="73"/>
      <c r="F18" s="73"/>
      <c r="G18" s="73"/>
      <c r="H18" s="73"/>
      <c r="I18" s="73"/>
      <c r="J18" s="73"/>
      <c r="K18" s="73">
        <f>48*C18/10</f>
        <v>48</v>
      </c>
      <c r="L18" s="73">
        <f>32*C18/10</f>
        <v>32</v>
      </c>
      <c r="M18" s="73">
        <f>51*C18/10</f>
        <v>51</v>
      </c>
      <c r="N18" s="73">
        <f>45*C18/10</f>
        <v>45</v>
      </c>
      <c r="O18" s="73"/>
      <c r="P18" s="74">
        <f t="shared" si="0"/>
        <v>176</v>
      </c>
    </row>
    <row r="19" spans="1:16" ht="23.25" customHeight="1" x14ac:dyDescent="0.2">
      <c r="A19" s="71">
        <v>17</v>
      </c>
      <c r="B19" s="75" t="s">
        <v>248</v>
      </c>
      <c r="C19" s="73">
        <v>10</v>
      </c>
      <c r="D19" s="73"/>
      <c r="E19" s="73"/>
      <c r="F19" s="73">
        <f>5*C19*1/10</f>
        <v>5</v>
      </c>
      <c r="G19" s="73">
        <f>97.5*C19*1/10</f>
        <v>97.5</v>
      </c>
      <c r="H19" s="73">
        <f>252*C19*1/10</f>
        <v>252</v>
      </c>
      <c r="I19" s="73"/>
      <c r="J19" s="73"/>
      <c r="K19" s="73"/>
      <c r="L19" s="73"/>
      <c r="M19" s="73"/>
      <c r="N19" s="73"/>
      <c r="O19" s="73"/>
      <c r="P19" s="74">
        <f t="shared" si="0"/>
        <v>354.5</v>
      </c>
    </row>
    <row r="20" spans="1:16" ht="23.25" customHeight="1" x14ac:dyDescent="0.2">
      <c r="A20" s="71">
        <v>18</v>
      </c>
      <c r="B20" s="75" t="s">
        <v>249</v>
      </c>
      <c r="C20" s="73">
        <v>10</v>
      </c>
      <c r="D20" s="73"/>
      <c r="E20" s="73"/>
      <c r="F20" s="73"/>
      <c r="G20" s="73"/>
      <c r="H20" s="73">
        <f>87.4*C20/10</f>
        <v>87.4</v>
      </c>
      <c r="I20" s="73">
        <f>236*C20/10</f>
        <v>236</v>
      </c>
      <c r="J20" s="73"/>
      <c r="K20" s="73"/>
      <c r="L20" s="73">
        <f>10*C20/10</f>
        <v>10</v>
      </c>
      <c r="M20" s="73"/>
      <c r="N20" s="73"/>
      <c r="O20" s="73"/>
      <c r="P20" s="74">
        <f t="shared" si="0"/>
        <v>333.4</v>
      </c>
    </row>
    <row r="21" spans="1:16" ht="23.25" customHeight="1" x14ac:dyDescent="0.2">
      <c r="A21" s="71">
        <v>19</v>
      </c>
      <c r="B21" s="75" t="s">
        <v>250</v>
      </c>
      <c r="C21" s="73">
        <v>10</v>
      </c>
      <c r="D21" s="73"/>
      <c r="E21" s="73"/>
      <c r="F21" s="73"/>
      <c r="G21" s="73"/>
      <c r="H21" s="73"/>
      <c r="I21" s="73"/>
      <c r="J21" s="73"/>
      <c r="K21" s="73">
        <f>64*C21/10</f>
        <v>64</v>
      </c>
      <c r="L21" s="73">
        <f>244*C21/10</f>
        <v>244</v>
      </c>
      <c r="M21" s="73"/>
      <c r="N21" s="73"/>
      <c r="O21" s="73"/>
      <c r="P21" s="74">
        <f t="shared" si="0"/>
        <v>308</v>
      </c>
    </row>
    <row r="22" spans="1:16" ht="23.25" customHeight="1" x14ac:dyDescent="0.2">
      <c r="A22" s="71">
        <v>20</v>
      </c>
      <c r="B22" s="75" t="s">
        <v>251</v>
      </c>
      <c r="C22" s="73">
        <v>10</v>
      </c>
      <c r="D22" s="73">
        <f>58*C22*1/10</f>
        <v>58</v>
      </c>
      <c r="E22" s="73">
        <f>257*C22*1/10</f>
        <v>257</v>
      </c>
      <c r="F22" s="73">
        <f>16*C22*1/10</f>
        <v>16</v>
      </c>
      <c r="G22" s="73"/>
      <c r="H22" s="73"/>
      <c r="I22" s="73"/>
      <c r="J22" s="73"/>
      <c r="K22" s="73"/>
      <c r="L22" s="73"/>
      <c r="M22" s="73"/>
      <c r="N22" s="73">
        <f>86.5*C22*1/10</f>
        <v>86.5</v>
      </c>
      <c r="O22" s="73">
        <f>95*C22*1/10</f>
        <v>95</v>
      </c>
      <c r="P22" s="74">
        <f t="shared" si="0"/>
        <v>512.5</v>
      </c>
    </row>
    <row r="23" spans="1:16" ht="23.25" customHeight="1" x14ac:dyDescent="0.2">
      <c r="A23" s="71">
        <v>21</v>
      </c>
      <c r="B23" s="73" t="s">
        <v>252</v>
      </c>
      <c r="C23" s="73">
        <v>10</v>
      </c>
      <c r="D23" s="73">
        <f>1*C23*1/10</f>
        <v>1</v>
      </c>
      <c r="E23" s="73">
        <f>5.9*C23*1/10</f>
        <v>5.9</v>
      </c>
      <c r="F23" s="73">
        <f>3*C23*1/10</f>
        <v>3</v>
      </c>
      <c r="G23" s="73">
        <f>30.6*C23*1/10</f>
        <v>30.6</v>
      </c>
      <c r="H23" s="73">
        <f>5.9*C23*1/10</f>
        <v>5.9</v>
      </c>
      <c r="I23" s="73">
        <f>9.9*C23*1/10</f>
        <v>9.9</v>
      </c>
      <c r="J23" s="73">
        <f>7.9*C23*1/10</f>
        <v>7.9</v>
      </c>
      <c r="K23" s="73">
        <f>61.4*C23*1/10</f>
        <v>61.4</v>
      </c>
      <c r="L23" s="73">
        <f>91.6*C23*1/10</f>
        <v>91.6</v>
      </c>
      <c r="M23" s="73"/>
      <c r="N23" s="73"/>
      <c r="O23" s="73"/>
      <c r="P23" s="74">
        <f t="shared" si="0"/>
        <v>217.2</v>
      </c>
    </row>
    <row r="24" spans="1:16" ht="23.25" customHeight="1" x14ac:dyDescent="0.2">
      <c r="A24" s="71">
        <v>22</v>
      </c>
      <c r="B24" s="73" t="s">
        <v>253</v>
      </c>
      <c r="C24" s="73">
        <v>10</v>
      </c>
      <c r="D24" s="73"/>
      <c r="E24" s="73"/>
      <c r="F24" s="73">
        <f>3.3*C24*1/10</f>
        <v>3.3</v>
      </c>
      <c r="G24" s="73">
        <f>1.2*C24*1/10</f>
        <v>1.2</v>
      </c>
      <c r="H24" s="73">
        <f>19.9*C24*1/10</f>
        <v>19.899999999999999</v>
      </c>
      <c r="I24" s="73">
        <f>15.4*C24*1/10</f>
        <v>15.4</v>
      </c>
      <c r="J24" s="73">
        <f>5.6*C24*1/10</f>
        <v>5.6</v>
      </c>
      <c r="K24" s="73">
        <f>7.2*C24*1/10</f>
        <v>7.2</v>
      </c>
      <c r="L24" s="73">
        <f>13.2*C24*1/10</f>
        <v>13.2</v>
      </c>
      <c r="M24" s="73">
        <f>66.8*C24*1/10</f>
        <v>66.8</v>
      </c>
      <c r="N24" s="73">
        <f>54*C24*1/10</f>
        <v>54</v>
      </c>
      <c r="O24" s="73">
        <f>10.8*C24*1/10</f>
        <v>10.8</v>
      </c>
      <c r="P24" s="74">
        <f t="shared" si="0"/>
        <v>197.4</v>
      </c>
    </row>
    <row r="25" spans="1:16" ht="23.25" customHeight="1" x14ac:dyDescent="0.2">
      <c r="A25" s="71">
        <v>23</v>
      </c>
      <c r="B25" s="75" t="s">
        <v>254</v>
      </c>
      <c r="C25" s="73">
        <v>10</v>
      </c>
      <c r="D25" s="73"/>
      <c r="E25" s="73"/>
      <c r="F25" s="73"/>
      <c r="G25" s="73">
        <f>9*C25*1/10</f>
        <v>9</v>
      </c>
      <c r="H25" s="73">
        <f>45*C25*1/10</f>
        <v>45</v>
      </c>
      <c r="I25" s="73">
        <f>92*C25/10</f>
        <v>92</v>
      </c>
      <c r="J25" s="73">
        <f>8*C25/10</f>
        <v>8</v>
      </c>
      <c r="K25" s="73"/>
      <c r="L25" s="73"/>
      <c r="M25" s="73"/>
      <c r="N25" s="73"/>
      <c r="O25" s="73"/>
      <c r="P25" s="74">
        <f t="shared" si="0"/>
        <v>154</v>
      </c>
    </row>
    <row r="26" spans="1:16" ht="23.25" customHeight="1" x14ac:dyDescent="0.2">
      <c r="A26" s="71">
        <v>24</v>
      </c>
      <c r="B26" s="75" t="s">
        <v>255</v>
      </c>
      <c r="C26" s="73">
        <v>10</v>
      </c>
      <c r="D26" s="73"/>
      <c r="E26" s="73"/>
      <c r="F26" s="73"/>
      <c r="G26" s="73"/>
      <c r="H26" s="73"/>
      <c r="I26" s="73"/>
      <c r="J26" s="73">
        <f>8*C26*1/10</f>
        <v>8</v>
      </c>
      <c r="K26" s="73">
        <f>44*C26*1/10</f>
        <v>44</v>
      </c>
      <c r="L26" s="73">
        <f>4*C26*1/10</f>
        <v>4</v>
      </c>
      <c r="M26" s="73">
        <f>92*C26*1/10</f>
        <v>92</v>
      </c>
      <c r="N26" s="73">
        <f>8*C26*1/10</f>
        <v>8</v>
      </c>
      <c r="O26" s="73"/>
      <c r="P26" s="74">
        <f t="shared" si="0"/>
        <v>156</v>
      </c>
    </row>
    <row r="27" spans="1:16" ht="23.25" customHeight="1" x14ac:dyDescent="0.2">
      <c r="A27" s="71">
        <v>25</v>
      </c>
      <c r="B27" s="75" t="s">
        <v>256</v>
      </c>
      <c r="C27" s="73">
        <v>10</v>
      </c>
      <c r="D27" s="73"/>
      <c r="E27" s="73">
        <f>7*C27*1/10</f>
        <v>7</v>
      </c>
      <c r="F27" s="73">
        <f>24*C27*1/10</f>
        <v>24</v>
      </c>
      <c r="G27" s="73">
        <f>55*C27*1/10</f>
        <v>55</v>
      </c>
      <c r="H27" s="73">
        <f>32*C27*1/10</f>
        <v>32</v>
      </c>
      <c r="I27" s="73">
        <f>80*C27*1/10</f>
        <v>80</v>
      </c>
      <c r="J27" s="73">
        <f>10*C27*1/10</f>
        <v>10</v>
      </c>
      <c r="K27" s="73"/>
      <c r="L27" s="73"/>
      <c r="M27" s="73"/>
      <c r="N27" s="73"/>
      <c r="O27" s="73"/>
      <c r="P27" s="74">
        <f t="shared" si="0"/>
        <v>208</v>
      </c>
    </row>
    <row r="28" spans="1:16" ht="23.25" customHeight="1" x14ac:dyDescent="0.2">
      <c r="A28" s="71">
        <v>26</v>
      </c>
      <c r="B28" s="75" t="s">
        <v>257</v>
      </c>
      <c r="C28" s="73">
        <v>10</v>
      </c>
      <c r="D28" s="73"/>
      <c r="E28" s="73"/>
      <c r="F28" s="73"/>
      <c r="G28" s="73"/>
      <c r="H28" s="73"/>
      <c r="I28" s="73">
        <f>7*C28*1/10</f>
        <v>7</v>
      </c>
      <c r="J28" s="73">
        <f>55*C28*1/10</f>
        <v>55</v>
      </c>
      <c r="K28" s="73">
        <f>35*C28*1/10</f>
        <v>35</v>
      </c>
      <c r="L28" s="73">
        <f>3*C28*1/10</f>
        <v>3</v>
      </c>
      <c r="M28" s="73">
        <f>88*C28*1/10</f>
        <v>88</v>
      </c>
      <c r="N28" s="73"/>
      <c r="O28" s="73"/>
      <c r="P28" s="74">
        <f t="shared" si="0"/>
        <v>188</v>
      </c>
    </row>
    <row r="29" spans="1:16" ht="23.25" customHeight="1" x14ac:dyDescent="0.2">
      <c r="A29" s="71">
        <v>27</v>
      </c>
      <c r="B29" s="75" t="s">
        <v>258</v>
      </c>
      <c r="C29" s="73">
        <v>10</v>
      </c>
      <c r="D29" s="73"/>
      <c r="E29" s="73"/>
      <c r="F29" s="73"/>
      <c r="G29" s="73">
        <f>6*C29*1/10</f>
        <v>6</v>
      </c>
      <c r="H29" s="73">
        <f>4*C29*1/10</f>
        <v>4</v>
      </c>
      <c r="I29" s="73">
        <f>153*C29*1/10</f>
        <v>153</v>
      </c>
      <c r="J29" s="73"/>
      <c r="K29" s="73"/>
      <c r="L29" s="73">
        <f>42*C29*1/10</f>
        <v>42</v>
      </c>
      <c r="M29" s="73">
        <f>19*C29*1/10</f>
        <v>19</v>
      </c>
      <c r="N29" s="73">
        <f>3*C29*1/10</f>
        <v>3</v>
      </c>
      <c r="O29" s="73"/>
      <c r="P29" s="74">
        <f t="shared" si="0"/>
        <v>227</v>
      </c>
    </row>
    <row r="30" spans="1:16" ht="23.25" customHeight="1" x14ac:dyDescent="0.2">
      <c r="A30" s="71">
        <v>28</v>
      </c>
      <c r="B30" s="75" t="s">
        <v>259</v>
      </c>
      <c r="C30" s="73">
        <v>10</v>
      </c>
      <c r="D30" s="73"/>
      <c r="E30" s="73"/>
      <c r="F30" s="73">
        <f>5*C30*1/10</f>
        <v>5</v>
      </c>
      <c r="G30" s="73">
        <f>37*C30*1/10</f>
        <v>37</v>
      </c>
      <c r="H30" s="73">
        <f>73*C30*1/10</f>
        <v>73</v>
      </c>
      <c r="I30" s="73">
        <f>188*C30*1/10</f>
        <v>188</v>
      </c>
      <c r="J30" s="73">
        <f>100*C30*1/10</f>
        <v>100</v>
      </c>
      <c r="K30" s="73">
        <f>103*C30*1/10</f>
        <v>103</v>
      </c>
      <c r="L30" s="73">
        <f>78*C30*1/10</f>
        <v>78</v>
      </c>
      <c r="M30" s="73"/>
      <c r="N30" s="73">
        <f>16*C30*1/10</f>
        <v>16</v>
      </c>
      <c r="O30" s="73"/>
      <c r="P30" s="74">
        <f t="shared" si="0"/>
        <v>600</v>
      </c>
    </row>
    <row r="31" spans="1:16" ht="23.25" customHeight="1" x14ac:dyDescent="0.2">
      <c r="A31" s="71">
        <v>29</v>
      </c>
      <c r="B31" s="75" t="s">
        <v>260</v>
      </c>
      <c r="C31" s="73">
        <v>10</v>
      </c>
      <c r="D31" s="73"/>
      <c r="E31" s="73"/>
      <c r="F31" s="73">
        <f>8*C31*1/10</f>
        <v>8</v>
      </c>
      <c r="G31" s="73">
        <f>4*C31*1/10</f>
        <v>4</v>
      </c>
      <c r="H31" s="73">
        <f>18*C31*1/10</f>
        <v>18</v>
      </c>
      <c r="I31" s="73">
        <f>5*C31*1/10</f>
        <v>5</v>
      </c>
      <c r="J31" s="73">
        <f>7*C31*1/10</f>
        <v>7</v>
      </c>
      <c r="K31" s="73">
        <f>7*C31*1/10</f>
        <v>7</v>
      </c>
      <c r="L31" s="73">
        <f>178*C31*1/10</f>
        <v>178</v>
      </c>
      <c r="M31" s="73">
        <f>186*C31*1/10</f>
        <v>186</v>
      </c>
      <c r="N31" s="73">
        <f>85*C31*1/10</f>
        <v>85</v>
      </c>
      <c r="O31" s="73">
        <f>8*C31*1/10</f>
        <v>8</v>
      </c>
      <c r="P31" s="74">
        <f t="shared" si="0"/>
        <v>506</v>
      </c>
    </row>
    <row r="32" spans="1:16" ht="23.25" customHeight="1" x14ac:dyDescent="0.2">
      <c r="A32" s="71">
        <v>30</v>
      </c>
      <c r="B32" s="73" t="s">
        <v>261</v>
      </c>
      <c r="C32" s="73">
        <v>10</v>
      </c>
      <c r="D32" s="73"/>
      <c r="E32" s="73"/>
      <c r="F32" s="73"/>
      <c r="G32" s="73">
        <f>17.6*C32*1/10</f>
        <v>17.600000000000001</v>
      </c>
      <c r="H32" s="73">
        <f>44.5*C32*1/10</f>
        <v>44.5</v>
      </c>
      <c r="I32" s="73">
        <f>76.7*C32*1/10</f>
        <v>76.7</v>
      </c>
      <c r="J32" s="73">
        <f>123.2*C32*1/10</f>
        <v>123.2</v>
      </c>
      <c r="K32" s="73">
        <f>130.8*C32*1/10</f>
        <v>130.80000000000001</v>
      </c>
      <c r="L32" s="73">
        <f>116.7*C32*1/10</f>
        <v>116.7</v>
      </c>
      <c r="M32" s="73">
        <f>87.3*C32*1/10</f>
        <v>87.3</v>
      </c>
      <c r="N32" s="73"/>
      <c r="O32" s="73"/>
      <c r="P32" s="74">
        <f t="shared" si="0"/>
        <v>596.79999999999995</v>
      </c>
    </row>
    <row r="33" spans="1:16" ht="23.25" customHeight="1" x14ac:dyDescent="0.2">
      <c r="A33" s="71">
        <v>31</v>
      </c>
      <c r="B33" s="73" t="s">
        <v>262</v>
      </c>
      <c r="C33" s="73">
        <v>10</v>
      </c>
      <c r="D33" s="73"/>
      <c r="E33" s="73"/>
      <c r="F33" s="73"/>
      <c r="G33" s="73">
        <f>61.3*C33*1/10</f>
        <v>61.3</v>
      </c>
      <c r="H33" s="73"/>
      <c r="I33" s="73"/>
      <c r="J33" s="73">
        <f>28.5*C33*1/10</f>
        <v>28.5</v>
      </c>
      <c r="K33" s="73">
        <f>133.1*C33*1/10</f>
        <v>133.1</v>
      </c>
      <c r="L33" s="73">
        <f>123.1*C33*1/10</f>
        <v>123.1</v>
      </c>
      <c r="M33" s="73">
        <f>141.2*C33*1/10</f>
        <v>141.19999999999999</v>
      </c>
      <c r="N33" s="73">
        <f>41.4*C33*1/10</f>
        <v>41.4</v>
      </c>
      <c r="O33" s="73"/>
      <c r="P33" s="74">
        <f t="shared" si="0"/>
        <v>528.6</v>
      </c>
    </row>
    <row r="34" spans="1:16" ht="23.25" customHeight="1" x14ac:dyDescent="0.2">
      <c r="A34" s="71">
        <v>32</v>
      </c>
      <c r="B34" s="73" t="s">
        <v>263</v>
      </c>
      <c r="C34" s="73">
        <v>10</v>
      </c>
      <c r="D34" s="73">
        <f>88*C34*1/10</f>
        <v>88</v>
      </c>
      <c r="E34" s="73">
        <f>43.1*C34*1/10</f>
        <v>43.1</v>
      </c>
      <c r="F34" s="73">
        <f>137.6*C34*1/10</f>
        <v>137.6</v>
      </c>
      <c r="G34" s="73">
        <f>66.2*C34*1/10</f>
        <v>66.2</v>
      </c>
      <c r="H34" s="73">
        <f>143.1*C34*1/10</f>
        <v>143.1</v>
      </c>
      <c r="I34" s="73">
        <f>148*C34*1/10</f>
        <v>148</v>
      </c>
      <c r="J34" s="73">
        <f>119.4*C34*1/10</f>
        <v>119.4</v>
      </c>
      <c r="K34" s="73"/>
      <c r="L34" s="73"/>
      <c r="M34" s="73"/>
      <c r="N34" s="73"/>
      <c r="O34" s="73">
        <f>10*C34*1/10</f>
        <v>10</v>
      </c>
      <c r="P34" s="74">
        <f t="shared" si="0"/>
        <v>755.4</v>
      </c>
    </row>
    <row r="35" spans="1:16" ht="23.25" customHeight="1" x14ac:dyDescent="0.2">
      <c r="A35" s="71">
        <v>33</v>
      </c>
      <c r="B35" s="75" t="s">
        <v>264</v>
      </c>
      <c r="C35" s="73">
        <v>10</v>
      </c>
      <c r="D35" s="73"/>
      <c r="E35" s="73">
        <f>4*C35*1/10</f>
        <v>4</v>
      </c>
      <c r="F35" s="73">
        <f>96*C35*1/10</f>
        <v>96</v>
      </c>
      <c r="G35" s="73">
        <f>86*C35*1/10</f>
        <v>86</v>
      </c>
      <c r="H35" s="73">
        <f>43*C35*1/10</f>
        <v>43</v>
      </c>
      <c r="I35" s="73">
        <f>55*C35*1/10</f>
        <v>55</v>
      </c>
      <c r="J35" s="73">
        <f>144*C35*1/10</f>
        <v>144</v>
      </c>
      <c r="K35" s="73">
        <f>130*C35*1/10</f>
        <v>130</v>
      </c>
      <c r="L35" s="73">
        <f>124*C35*1/10</f>
        <v>124</v>
      </c>
      <c r="M35" s="73">
        <f>121*C35*1/10</f>
        <v>121</v>
      </c>
      <c r="N35" s="73">
        <f>93*C35*1/10</f>
        <v>93</v>
      </c>
      <c r="O35" s="73"/>
      <c r="P35" s="74">
        <f t="shared" si="0"/>
        <v>896</v>
      </c>
    </row>
    <row r="36" spans="1:16" ht="23.25" customHeight="1" x14ac:dyDescent="0.2">
      <c r="A36" s="71">
        <v>34</v>
      </c>
      <c r="B36" s="73" t="s">
        <v>265</v>
      </c>
      <c r="C36" s="73">
        <v>10</v>
      </c>
      <c r="D36" s="73">
        <f>16*C36*1/10</f>
        <v>16</v>
      </c>
      <c r="E36" s="73">
        <f>14*C36*1/10</f>
        <v>14</v>
      </c>
      <c r="F36" s="73">
        <f>71*C36*1/10</f>
        <v>71</v>
      </c>
      <c r="G36" s="73">
        <f>70*C36*1/10</f>
        <v>70</v>
      </c>
      <c r="H36" s="73">
        <f>143*C36*1/10</f>
        <v>143</v>
      </c>
      <c r="I36" s="73">
        <f>199*C36*1/10</f>
        <v>199</v>
      </c>
      <c r="J36" s="73">
        <f>459*C36*1/10</f>
        <v>459</v>
      </c>
      <c r="K36" s="73">
        <f>432*C36*1/10</f>
        <v>432</v>
      </c>
      <c r="L36" s="73">
        <f>349*C36*1/10</f>
        <v>349</v>
      </c>
      <c r="M36" s="73">
        <f>104*C36*1/10</f>
        <v>104</v>
      </c>
      <c r="N36" s="73">
        <f>19*C36*1/10</f>
        <v>19</v>
      </c>
      <c r="O36" s="73"/>
      <c r="P36" s="74">
        <f t="shared" si="0"/>
        <v>1876</v>
      </c>
    </row>
    <row r="37" spans="1:16" ht="23.25" customHeight="1" x14ac:dyDescent="0.2">
      <c r="A37" s="71">
        <v>35</v>
      </c>
      <c r="B37" s="73" t="s">
        <v>266</v>
      </c>
      <c r="C37" s="73">
        <v>10</v>
      </c>
      <c r="D37" s="73"/>
      <c r="E37" s="73"/>
      <c r="F37" s="73"/>
      <c r="G37" s="73">
        <f>32*C37*1/10</f>
        <v>32</v>
      </c>
      <c r="H37" s="73"/>
      <c r="I37" s="73"/>
      <c r="J37" s="73">
        <f>43.4*C37*1/10</f>
        <v>43.4</v>
      </c>
      <c r="K37" s="73">
        <f>96*C37*1/10</f>
        <v>96</v>
      </c>
      <c r="L37" s="73">
        <f>82*C37*1/10</f>
        <v>82</v>
      </c>
      <c r="M37" s="73">
        <f>118*C37*1/10</f>
        <v>118</v>
      </c>
      <c r="N37" s="73">
        <f>70*C37*1/10</f>
        <v>70</v>
      </c>
      <c r="O37" s="73"/>
      <c r="P37" s="74">
        <f t="shared" si="0"/>
        <v>441.4</v>
      </c>
    </row>
    <row r="38" spans="1:16" ht="23.25" customHeight="1" x14ac:dyDescent="0.2">
      <c r="A38" s="71">
        <v>36</v>
      </c>
      <c r="B38" s="73" t="s">
        <v>267</v>
      </c>
      <c r="C38" s="73">
        <v>10</v>
      </c>
      <c r="D38" s="73"/>
      <c r="E38" s="73"/>
      <c r="F38" s="73">
        <f>72*C38*1/10</f>
        <v>72</v>
      </c>
      <c r="G38" s="73">
        <f>54*C38*1/10</f>
        <v>54</v>
      </c>
      <c r="H38" s="73">
        <f>72*C38*1/10</f>
        <v>72</v>
      </c>
      <c r="I38" s="73">
        <f>73*C38*1/10</f>
        <v>73</v>
      </c>
      <c r="J38" s="73">
        <f>114*C38*1/10</f>
        <v>114</v>
      </c>
      <c r="K38" s="73">
        <f>113*C38*1/10</f>
        <v>113</v>
      </c>
      <c r="L38" s="73">
        <f>109*C38*1/10</f>
        <v>109</v>
      </c>
      <c r="M38" s="73">
        <f>32*C38*1/10</f>
        <v>32</v>
      </c>
      <c r="N38" s="73"/>
      <c r="O38" s="73"/>
      <c r="P38" s="74">
        <f t="shared" si="0"/>
        <v>639</v>
      </c>
    </row>
    <row r="39" spans="1:16" ht="23.25" customHeight="1" x14ac:dyDescent="0.2">
      <c r="A39" s="71">
        <v>37</v>
      </c>
      <c r="B39" s="73" t="s">
        <v>268</v>
      </c>
      <c r="C39" s="73">
        <v>10</v>
      </c>
      <c r="D39" s="73"/>
      <c r="E39" s="73"/>
      <c r="F39" s="73"/>
      <c r="G39" s="73">
        <f>17*C39*1/10</f>
        <v>17</v>
      </c>
      <c r="H39" s="73">
        <f>67*C39*1/10</f>
        <v>67</v>
      </c>
      <c r="I39" s="73">
        <f>58*C39*1/10</f>
        <v>58</v>
      </c>
      <c r="J39" s="73">
        <f>91*C39*1/10</f>
        <v>91</v>
      </c>
      <c r="K39" s="73">
        <f>97*C39*1/10</f>
        <v>97</v>
      </c>
      <c r="L39" s="73">
        <f>47*C39*1/10</f>
        <v>47</v>
      </c>
      <c r="M39" s="73">
        <f>19*C39*1/10</f>
        <v>19</v>
      </c>
      <c r="N39" s="73">
        <f>14*C39*1/10</f>
        <v>14</v>
      </c>
      <c r="O39" s="73"/>
      <c r="P39" s="74">
        <f t="shared" si="0"/>
        <v>410</v>
      </c>
    </row>
    <row r="40" spans="1:16" ht="23.25" customHeight="1" x14ac:dyDescent="0.2">
      <c r="A40" s="71">
        <v>38</v>
      </c>
      <c r="B40" s="73" t="s">
        <v>269</v>
      </c>
      <c r="C40" s="73">
        <v>10</v>
      </c>
      <c r="D40" s="73">
        <f>120*C40*1/10</f>
        <v>120</v>
      </c>
      <c r="E40" s="73">
        <f>120*C40*1/10</f>
        <v>120</v>
      </c>
      <c r="F40" s="73">
        <f>16*C40*1/10</f>
        <v>16</v>
      </c>
      <c r="G40" s="73"/>
      <c r="H40" s="73"/>
      <c r="I40" s="73"/>
      <c r="J40" s="73"/>
      <c r="K40" s="73"/>
      <c r="L40" s="73">
        <f>24.9*C40*1/10</f>
        <v>24.9</v>
      </c>
      <c r="M40" s="73">
        <f>35.4*C40*1/10</f>
        <v>35.4</v>
      </c>
      <c r="N40" s="73">
        <f>55.9*C40*1/10</f>
        <v>55.9</v>
      </c>
      <c r="O40" s="73">
        <f>115.7*C40*1/10</f>
        <v>115.7</v>
      </c>
      <c r="P40" s="74">
        <f t="shared" si="0"/>
        <v>487.89999999999992</v>
      </c>
    </row>
    <row r="41" spans="1:16" ht="23.25" customHeight="1" x14ac:dyDescent="0.2">
      <c r="A41" s="71">
        <v>39</v>
      </c>
      <c r="B41" s="75" t="s">
        <v>270</v>
      </c>
      <c r="C41" s="73">
        <v>10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4">
        <f t="shared" si="0"/>
        <v>0</v>
      </c>
    </row>
    <row r="42" spans="1:16" ht="23.25" customHeight="1" x14ac:dyDescent="0.2">
      <c r="A42" s="71">
        <v>40</v>
      </c>
      <c r="B42" s="75" t="s">
        <v>271</v>
      </c>
      <c r="C42" s="73">
        <v>10</v>
      </c>
      <c r="D42" s="73"/>
      <c r="E42" s="73"/>
      <c r="F42" s="73"/>
      <c r="G42" s="73"/>
      <c r="H42" s="73"/>
      <c r="I42" s="73"/>
      <c r="J42" s="73"/>
      <c r="K42" s="73">
        <f>24*C42*1/10</f>
        <v>24</v>
      </c>
      <c r="L42" s="73">
        <f>24*C42*1/10</f>
        <v>24</v>
      </c>
      <c r="M42" s="73">
        <f>30*C42*1/10</f>
        <v>30</v>
      </c>
      <c r="N42" s="73">
        <f>64*C42*1/10</f>
        <v>64</v>
      </c>
      <c r="O42" s="73"/>
      <c r="P42" s="74">
        <f t="shared" si="0"/>
        <v>142</v>
      </c>
    </row>
    <row r="43" spans="1:16" ht="23.25" customHeight="1" x14ac:dyDescent="0.2">
      <c r="A43" s="71">
        <v>41</v>
      </c>
      <c r="B43" s="75" t="s">
        <v>272</v>
      </c>
      <c r="C43" s="73">
        <v>10</v>
      </c>
      <c r="D43" s="73"/>
      <c r="E43" s="73"/>
      <c r="F43" s="73"/>
      <c r="G43" s="73"/>
      <c r="H43" s="73"/>
      <c r="I43" s="73">
        <f>66*C43*1/10</f>
        <v>66</v>
      </c>
      <c r="J43" s="73">
        <f>116*C43*1/10</f>
        <v>116</v>
      </c>
      <c r="K43" s="73">
        <f>2*C43*1/10</f>
        <v>2</v>
      </c>
      <c r="L43" s="73"/>
      <c r="M43" s="73"/>
      <c r="N43" s="73"/>
      <c r="O43" s="73"/>
      <c r="P43" s="74">
        <f t="shared" si="0"/>
        <v>184</v>
      </c>
    </row>
    <row r="44" spans="1:16" ht="23.25" customHeight="1" x14ac:dyDescent="0.2">
      <c r="A44" s="71">
        <v>42</v>
      </c>
      <c r="B44" s="75" t="s">
        <v>273</v>
      </c>
      <c r="C44" s="73">
        <v>10</v>
      </c>
      <c r="D44" s="73"/>
      <c r="E44" s="73"/>
      <c r="F44" s="73"/>
      <c r="G44" s="73">
        <f>38*C44*1/10</f>
        <v>38</v>
      </c>
      <c r="H44" s="73">
        <f>76*C44*1/10</f>
        <v>76</v>
      </c>
      <c r="I44" s="73">
        <f>62*C44*1/10</f>
        <v>62</v>
      </c>
      <c r="J44" s="73"/>
      <c r="K44" s="73"/>
      <c r="L44" s="73"/>
      <c r="M44" s="73"/>
      <c r="N44" s="73"/>
      <c r="O44" s="73"/>
      <c r="P44" s="74">
        <f t="shared" si="0"/>
        <v>176</v>
      </c>
    </row>
    <row r="45" spans="1:16" ht="23.25" customHeight="1" x14ac:dyDescent="0.2">
      <c r="A45" s="71">
        <v>43</v>
      </c>
      <c r="B45" s="75" t="s">
        <v>274</v>
      </c>
      <c r="C45" s="73">
        <v>10</v>
      </c>
      <c r="D45" s="73"/>
      <c r="E45" s="73"/>
      <c r="F45" s="73"/>
      <c r="G45" s="73"/>
      <c r="H45" s="73">
        <f>32*C45*1/10</f>
        <v>32</v>
      </c>
      <c r="I45" s="73">
        <f>18*C45*1/10</f>
        <v>18</v>
      </c>
      <c r="J45" s="73">
        <f>112*C45*1/10</f>
        <v>112</v>
      </c>
      <c r="K45" s="73"/>
      <c r="L45" s="73"/>
      <c r="M45" s="73"/>
      <c r="N45" s="73"/>
      <c r="O45" s="73"/>
      <c r="P45" s="74">
        <f t="shared" si="0"/>
        <v>162</v>
      </c>
    </row>
    <row r="46" spans="1:16" ht="23.25" customHeight="1" x14ac:dyDescent="0.2">
      <c r="A46" s="71">
        <v>44</v>
      </c>
      <c r="B46" s="73" t="s">
        <v>275</v>
      </c>
      <c r="C46" s="73">
        <v>10</v>
      </c>
      <c r="D46" s="73">
        <f>2*C46*1/10</f>
        <v>2</v>
      </c>
      <c r="E46" s="73"/>
      <c r="F46" s="73">
        <f>88*C46*1/10</f>
        <v>88</v>
      </c>
      <c r="G46" s="73">
        <f>37.2*C46*1/10</f>
        <v>37.200000000000003</v>
      </c>
      <c r="H46" s="73">
        <f>18.8*C46*1/10</f>
        <v>18.8</v>
      </c>
      <c r="I46" s="73">
        <f>89.8*C46*1/10</f>
        <v>89.8</v>
      </c>
      <c r="J46" s="73">
        <f>234.8*C46*1/10</f>
        <v>234.8</v>
      </c>
      <c r="K46" s="73">
        <f>230.8*C46*1/10</f>
        <v>230.8</v>
      </c>
      <c r="L46" s="73">
        <f>226.6*C46*1/10</f>
        <v>226.6</v>
      </c>
      <c r="M46" s="73">
        <f>64*C46*1/10</f>
        <v>64</v>
      </c>
      <c r="N46" s="73"/>
      <c r="O46" s="73"/>
      <c r="P46" s="74">
        <f t="shared" si="0"/>
        <v>992.00000000000011</v>
      </c>
    </row>
    <row r="47" spans="1:16" ht="23.25" customHeight="1" x14ac:dyDescent="0.2">
      <c r="A47" s="71">
        <v>45</v>
      </c>
      <c r="B47" s="73" t="s">
        <v>276</v>
      </c>
      <c r="C47" s="73">
        <v>10</v>
      </c>
      <c r="D47" s="73">
        <f>2*C47*1/10</f>
        <v>2</v>
      </c>
      <c r="E47" s="73"/>
      <c r="F47" s="73"/>
      <c r="G47" s="73">
        <f>88*C47*1/10</f>
        <v>88</v>
      </c>
      <c r="H47" s="73">
        <f>44.8*C47*1/10</f>
        <v>44.8</v>
      </c>
      <c r="I47" s="73">
        <f>16.8*C47*1/10</f>
        <v>16.8</v>
      </c>
      <c r="J47" s="73">
        <f>163.8*C47*1/10</f>
        <v>163.80000000000001</v>
      </c>
      <c r="K47" s="73">
        <f>232.8*C47*1/10</f>
        <v>232.8</v>
      </c>
      <c r="L47" s="73">
        <f>229.8*C47*1/10</f>
        <v>229.8</v>
      </c>
      <c r="M47" s="73">
        <f>190*C47*1/10</f>
        <v>190</v>
      </c>
      <c r="N47" s="73">
        <f>24*C47*1/10</f>
        <v>24</v>
      </c>
      <c r="O47" s="73"/>
      <c r="P47" s="74">
        <f t="shared" si="0"/>
        <v>992</v>
      </c>
    </row>
    <row r="48" spans="1:16" ht="23.25" customHeight="1" x14ac:dyDescent="0.2">
      <c r="A48" s="71">
        <v>46</v>
      </c>
      <c r="B48" s="73" t="s">
        <v>277</v>
      </c>
      <c r="C48" s="73">
        <v>10</v>
      </c>
      <c r="D48" s="73"/>
      <c r="E48" s="73"/>
      <c r="F48" s="73"/>
      <c r="G48" s="73"/>
      <c r="H48" s="73">
        <f>28*C48*1/10</f>
        <v>28</v>
      </c>
      <c r="I48" s="73">
        <f>34*C48*1/10</f>
        <v>34</v>
      </c>
      <c r="J48" s="73">
        <f>9*C48*1/10</f>
        <v>9</v>
      </c>
      <c r="K48" s="73">
        <f>12.7*C48*1/10</f>
        <v>12.7</v>
      </c>
      <c r="L48" s="73">
        <f>16.7*C48*1/10</f>
        <v>16.7</v>
      </c>
      <c r="M48" s="73">
        <f>128.7*C48*1/10</f>
        <v>128.69999999999999</v>
      </c>
      <c r="N48" s="73">
        <f>258.9*C48*1/10</f>
        <v>258.89999999999998</v>
      </c>
      <c r="O48" s="73"/>
      <c r="P48" s="74">
        <f t="shared" si="0"/>
        <v>488</v>
      </c>
    </row>
    <row r="49" spans="1:16" ht="23.25" customHeight="1" x14ac:dyDescent="0.2">
      <c r="A49" s="71">
        <v>47</v>
      </c>
      <c r="B49" s="75" t="s">
        <v>278</v>
      </c>
      <c r="C49" s="73">
        <v>10</v>
      </c>
      <c r="D49" s="73"/>
      <c r="E49" s="73"/>
      <c r="F49" s="73"/>
      <c r="G49" s="73"/>
      <c r="H49" s="73">
        <f>35*C49*1/10</f>
        <v>35</v>
      </c>
      <c r="I49" s="73">
        <f>21*C49*1/10</f>
        <v>21</v>
      </c>
      <c r="J49" s="73">
        <f>5*C49*1/10</f>
        <v>5</v>
      </c>
      <c r="K49" s="73">
        <f>65*C49*1/10</f>
        <v>65</v>
      </c>
      <c r="L49" s="73">
        <f>20*C49*1/10</f>
        <v>20</v>
      </c>
      <c r="M49" s="73"/>
      <c r="N49" s="73"/>
      <c r="O49" s="73"/>
      <c r="P49" s="74">
        <f t="shared" si="0"/>
        <v>146</v>
      </c>
    </row>
    <row r="50" spans="1:16" ht="23.25" customHeight="1" x14ac:dyDescent="0.2">
      <c r="A50" s="71">
        <v>48</v>
      </c>
      <c r="B50" s="73" t="s">
        <v>279</v>
      </c>
      <c r="C50" s="73">
        <v>10</v>
      </c>
      <c r="D50" s="73"/>
      <c r="E50" s="73"/>
      <c r="F50" s="73"/>
      <c r="G50" s="73">
        <f>1*C50*1/10</f>
        <v>1</v>
      </c>
      <c r="H50" s="73">
        <f>67.5*C50*1/10</f>
        <v>67.5</v>
      </c>
      <c r="I50" s="73">
        <f>12.5*C50*1/10</f>
        <v>12.5</v>
      </c>
      <c r="J50" s="73">
        <f>50.5*C50*1/10</f>
        <v>50.5</v>
      </c>
      <c r="K50" s="73">
        <f>81*C50*1/10</f>
        <v>81</v>
      </c>
      <c r="L50" s="73"/>
      <c r="M50" s="73"/>
      <c r="N50" s="73"/>
      <c r="O50" s="73"/>
      <c r="P50" s="74">
        <f t="shared" si="0"/>
        <v>212.5</v>
      </c>
    </row>
    <row r="51" spans="1:16" ht="23.25" customHeight="1" x14ac:dyDescent="0.2">
      <c r="A51" s="71">
        <v>49</v>
      </c>
      <c r="B51" s="73" t="s">
        <v>280</v>
      </c>
      <c r="C51" s="73">
        <v>10</v>
      </c>
      <c r="D51" s="73"/>
      <c r="E51" s="73"/>
      <c r="F51" s="73">
        <f>0.7*C51*1/10</f>
        <v>0.7</v>
      </c>
      <c r="G51" s="73">
        <f>1.2*C51*1/10</f>
        <v>1.2</v>
      </c>
      <c r="H51" s="73">
        <f>10*C51*1/10</f>
        <v>10</v>
      </c>
      <c r="I51" s="73">
        <f>13.8*C51*1/10</f>
        <v>13.8</v>
      </c>
      <c r="J51" s="73">
        <f>2.9*C51*1/10</f>
        <v>2.9</v>
      </c>
      <c r="K51" s="73">
        <f>37.3*C51*1/10</f>
        <v>37.299999999999997</v>
      </c>
      <c r="L51" s="73">
        <f>36.3*C51*1/10</f>
        <v>36.299999999999997</v>
      </c>
      <c r="M51" s="73">
        <f>14*C51*1/10</f>
        <v>14</v>
      </c>
      <c r="N51" s="73"/>
      <c r="O51" s="73"/>
      <c r="P51" s="74">
        <f t="shared" si="0"/>
        <v>116.2</v>
      </c>
    </row>
    <row r="52" spans="1:16" ht="23.25" customHeight="1" x14ac:dyDescent="0.2">
      <c r="A52" s="71">
        <v>50</v>
      </c>
      <c r="B52" s="73" t="s">
        <v>281</v>
      </c>
      <c r="C52" s="73">
        <v>10</v>
      </c>
      <c r="D52" s="73"/>
      <c r="E52" s="73"/>
      <c r="F52" s="73"/>
      <c r="G52" s="73">
        <f>1.8*C52*1/10</f>
        <v>1.8</v>
      </c>
      <c r="H52" s="73">
        <f>5.6*C52*1/10</f>
        <v>5.6</v>
      </c>
      <c r="I52" s="73">
        <f>5.3*C52*1/10</f>
        <v>5.3</v>
      </c>
      <c r="J52" s="73">
        <f>22.8*C52*1/10</f>
        <v>22.8</v>
      </c>
      <c r="K52" s="73">
        <f>42*C52*1/10</f>
        <v>42</v>
      </c>
      <c r="L52" s="73">
        <f>20.8*C52*1/10</f>
        <v>20.8</v>
      </c>
      <c r="M52" s="73"/>
      <c r="N52" s="73"/>
      <c r="O52" s="73"/>
      <c r="P52" s="74">
        <f t="shared" si="0"/>
        <v>98.3</v>
      </c>
    </row>
    <row r="53" spans="1:16" ht="23.25" customHeight="1" x14ac:dyDescent="0.2">
      <c r="A53" s="71">
        <v>51</v>
      </c>
      <c r="B53" s="75" t="s">
        <v>282</v>
      </c>
      <c r="C53" s="73">
        <v>10</v>
      </c>
      <c r="D53" s="73">
        <v>0</v>
      </c>
      <c r="E53" s="73">
        <v>0</v>
      </c>
      <c r="F53" s="73">
        <v>0</v>
      </c>
      <c r="G53" s="73">
        <v>9</v>
      </c>
      <c r="H53" s="73">
        <v>20</v>
      </c>
      <c r="I53" s="73">
        <v>17</v>
      </c>
      <c r="J53" s="73">
        <v>7</v>
      </c>
      <c r="K53" s="73">
        <v>9</v>
      </c>
      <c r="L53" s="73">
        <v>30</v>
      </c>
      <c r="M53" s="73">
        <v>50</v>
      </c>
      <c r="N53" s="73">
        <v>40</v>
      </c>
      <c r="O53" s="73">
        <v>0</v>
      </c>
      <c r="P53" s="74">
        <f t="shared" si="0"/>
        <v>182</v>
      </c>
    </row>
    <row r="54" spans="1:16" ht="23.25" customHeight="1" x14ac:dyDescent="0.2">
      <c r="A54" s="71">
        <v>52</v>
      </c>
      <c r="B54" s="75" t="s">
        <v>283</v>
      </c>
      <c r="C54" s="73">
        <v>10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4">
        <f t="shared" si="0"/>
        <v>0</v>
      </c>
    </row>
    <row r="55" spans="1:16" ht="23.25" customHeight="1" x14ac:dyDescent="0.2">
      <c r="A55" s="71">
        <v>53</v>
      </c>
      <c r="B55" s="73" t="s">
        <v>284</v>
      </c>
      <c r="C55" s="73">
        <v>10</v>
      </c>
      <c r="D55" s="73">
        <f>90*C55*1/10</f>
        <v>90</v>
      </c>
      <c r="E55" s="73">
        <f>107*C55*1/10</f>
        <v>107</v>
      </c>
      <c r="F55" s="73">
        <f>333*C55*1/10</f>
        <v>333</v>
      </c>
      <c r="G55" s="73">
        <f>222*C55*1/10</f>
        <v>222</v>
      </c>
      <c r="H55" s="73">
        <f>161*C55*1/10</f>
        <v>161</v>
      </c>
      <c r="I55" s="73">
        <f>122*C55*1/10</f>
        <v>122</v>
      </c>
      <c r="J55" s="73">
        <f>90*C55*1/10</f>
        <v>90</v>
      </c>
      <c r="K55" s="73">
        <f>26*C55*1/10</f>
        <v>26</v>
      </c>
      <c r="L55" s="73">
        <f>73*C55*1/10</f>
        <v>73</v>
      </c>
      <c r="M55" s="73">
        <f>115*C55*1/10</f>
        <v>115</v>
      </c>
      <c r="N55" s="73">
        <f>126*C55*1/10</f>
        <v>126</v>
      </c>
      <c r="O55" s="73">
        <f>146*C55*1/10</f>
        <v>146</v>
      </c>
      <c r="P55" s="74">
        <f t="shared" si="0"/>
        <v>1611</v>
      </c>
    </row>
    <row r="56" spans="1:16" ht="23.25" customHeight="1" x14ac:dyDescent="0.2">
      <c r="A56" s="71">
        <v>54</v>
      </c>
      <c r="B56" s="73" t="s">
        <v>285</v>
      </c>
      <c r="C56" s="73">
        <v>10</v>
      </c>
      <c r="D56" s="73">
        <f>24*C56*1/10</f>
        <v>24</v>
      </c>
      <c r="E56" s="73">
        <f>6*C56*1/10</f>
        <v>6</v>
      </c>
      <c r="F56" s="73"/>
      <c r="G56" s="73"/>
      <c r="H56" s="73"/>
      <c r="I56" s="73"/>
      <c r="J56" s="73">
        <f>9*C56*1/10</f>
        <v>9</v>
      </c>
      <c r="K56" s="73">
        <f>177.3*C56*1/10</f>
        <v>177.3</v>
      </c>
      <c r="L56" s="73">
        <f>136.9*C56*1/10</f>
        <v>136.9</v>
      </c>
      <c r="M56" s="73">
        <f>82.4*C56*1/10</f>
        <v>82.4</v>
      </c>
      <c r="N56" s="73">
        <f>101.4*C56*1/10</f>
        <v>101.4</v>
      </c>
      <c r="O56" s="73">
        <f>50*C56*1/10</f>
        <v>50</v>
      </c>
      <c r="P56" s="74">
        <f t="shared" si="0"/>
        <v>587</v>
      </c>
    </row>
    <row r="57" spans="1:16" ht="23.25" customHeight="1" x14ac:dyDescent="0.2">
      <c r="A57" s="71">
        <v>55</v>
      </c>
      <c r="B57" s="73" t="s">
        <v>286</v>
      </c>
      <c r="C57" s="73">
        <v>10</v>
      </c>
      <c r="D57" s="73">
        <f>8*C57*1/10</f>
        <v>8</v>
      </c>
      <c r="E57" s="73">
        <f>16*C57*1/10</f>
        <v>16</v>
      </c>
      <c r="F57" s="73">
        <f>56*C57*1/10</f>
        <v>56</v>
      </c>
      <c r="G57" s="73">
        <f>54*C57*1/10</f>
        <v>54</v>
      </c>
      <c r="H57" s="73">
        <f>110*C57*1/10</f>
        <v>110</v>
      </c>
      <c r="I57" s="73">
        <f>443*C57*1/10</f>
        <v>443</v>
      </c>
      <c r="J57" s="73">
        <f>89*C57*1/10</f>
        <v>89</v>
      </c>
      <c r="K57" s="73"/>
      <c r="L57" s="73">
        <f>76*C57*1/10</f>
        <v>76</v>
      </c>
      <c r="M57" s="73">
        <f>90*C57*1/10</f>
        <v>90</v>
      </c>
      <c r="N57" s="73">
        <f>90*C57*1/10</f>
        <v>90</v>
      </c>
      <c r="O57" s="73">
        <f>8*C57*1/10</f>
        <v>8</v>
      </c>
      <c r="P57" s="74">
        <f t="shared" si="0"/>
        <v>1040</v>
      </c>
    </row>
    <row r="58" spans="1:16" ht="23.25" customHeight="1" x14ac:dyDescent="0.2">
      <c r="A58" s="71">
        <v>56</v>
      </c>
      <c r="B58" s="73" t="s">
        <v>287</v>
      </c>
      <c r="C58" s="73">
        <v>10</v>
      </c>
      <c r="D58" s="73">
        <f>19*C58*1/10</f>
        <v>19</v>
      </c>
      <c r="E58" s="73">
        <f>57*C58*1/10</f>
        <v>57</v>
      </c>
      <c r="F58" s="73">
        <f>84*C58*1/10</f>
        <v>84</v>
      </c>
      <c r="G58" s="73">
        <f>82*C58*1/10</f>
        <v>82</v>
      </c>
      <c r="H58" s="73">
        <f>65*C58*1/10</f>
        <v>65</v>
      </c>
      <c r="I58" s="73">
        <f>36*C58*1/10</f>
        <v>36</v>
      </c>
      <c r="J58" s="73">
        <f>277*C58*1/10</f>
        <v>277</v>
      </c>
      <c r="K58" s="73">
        <f>318*C58*1/10</f>
        <v>318</v>
      </c>
      <c r="L58" s="73">
        <f>61*C58*1/10</f>
        <v>61</v>
      </c>
      <c r="M58" s="73">
        <f>26*C58*1/10</f>
        <v>26</v>
      </c>
      <c r="N58" s="73">
        <f>19*C58*1/10</f>
        <v>19</v>
      </c>
      <c r="O58" s="73">
        <f>15*C58*1/10</f>
        <v>15</v>
      </c>
      <c r="P58" s="74">
        <f t="shared" si="0"/>
        <v>1059</v>
      </c>
    </row>
    <row r="59" spans="1:16" ht="23.25" customHeight="1" x14ac:dyDescent="0.2">
      <c r="A59" s="71">
        <v>57</v>
      </c>
      <c r="B59" s="73" t="s">
        <v>288</v>
      </c>
      <c r="C59" s="73">
        <v>10</v>
      </c>
      <c r="D59" s="73"/>
      <c r="E59" s="73"/>
      <c r="F59" s="73"/>
      <c r="G59" s="73">
        <f>10*C59*1/10</f>
        <v>10</v>
      </c>
      <c r="H59" s="73">
        <f>20*C59*1/10</f>
        <v>20</v>
      </c>
      <c r="I59" s="73">
        <f>40*C59*1/10</f>
        <v>40</v>
      </c>
      <c r="J59" s="73">
        <f>20*C59*1/10</f>
        <v>20</v>
      </c>
      <c r="K59" s="73">
        <f>40*C59*1/10</f>
        <v>40</v>
      </c>
      <c r="L59" s="73">
        <f>40*C59*1/10</f>
        <v>40</v>
      </c>
      <c r="M59" s="73">
        <f>40*C59*1/10</f>
        <v>40</v>
      </c>
      <c r="N59" s="73">
        <f>20*C59*1/10</f>
        <v>20</v>
      </c>
      <c r="O59" s="73"/>
      <c r="P59" s="74">
        <f t="shared" si="0"/>
        <v>230</v>
      </c>
    </row>
    <row r="60" spans="1:16" ht="23.25" customHeight="1" x14ac:dyDescent="0.2">
      <c r="A60" s="71">
        <v>58</v>
      </c>
      <c r="B60" s="73" t="s">
        <v>289</v>
      </c>
      <c r="C60" s="73">
        <v>10</v>
      </c>
      <c r="D60" s="73"/>
      <c r="E60" s="73"/>
      <c r="F60" s="73"/>
      <c r="G60" s="73"/>
      <c r="H60" s="73">
        <f>16*C60*1/10</f>
        <v>16</v>
      </c>
      <c r="I60" s="73">
        <f>92*C60*1/10</f>
        <v>92</v>
      </c>
      <c r="J60" s="73">
        <f>56*C60*1/10</f>
        <v>56</v>
      </c>
      <c r="K60" s="73">
        <f>104*C60*1/10</f>
        <v>104</v>
      </c>
      <c r="L60" s="73">
        <f>228*C60*1/10</f>
        <v>228</v>
      </c>
      <c r="M60" s="73">
        <f>124*C60*1/10</f>
        <v>124</v>
      </c>
      <c r="N60" s="73">
        <f>92*C60*1/10</f>
        <v>92</v>
      </c>
      <c r="O60" s="73"/>
      <c r="P60" s="74">
        <f t="shared" si="0"/>
        <v>712</v>
      </c>
    </row>
    <row r="61" spans="1:16" ht="23.25" customHeight="1" x14ac:dyDescent="0.2">
      <c r="A61" s="71">
        <v>59</v>
      </c>
      <c r="B61" s="75" t="s">
        <v>290</v>
      </c>
      <c r="C61" s="73">
        <v>10</v>
      </c>
      <c r="D61" s="73">
        <f>7*C61*1/10</f>
        <v>7</v>
      </c>
      <c r="E61" s="73">
        <f>30*C61*1/10</f>
        <v>30</v>
      </c>
      <c r="F61" s="73">
        <f>68*C61*1/10</f>
        <v>68</v>
      </c>
      <c r="G61" s="73">
        <f>125*C61*1/10</f>
        <v>125</v>
      </c>
      <c r="H61" s="73">
        <f>113*C61*1/10</f>
        <v>113</v>
      </c>
      <c r="I61" s="73">
        <f>152*C61*1/10</f>
        <v>152</v>
      </c>
      <c r="J61" s="73">
        <f>123*C61*1/10</f>
        <v>123</v>
      </c>
      <c r="K61" s="73">
        <f>103*C61*1/10</f>
        <v>103</v>
      </c>
      <c r="L61" s="73"/>
      <c r="M61" s="73">
        <f>17*C61*1/10</f>
        <v>17</v>
      </c>
      <c r="N61" s="73">
        <f>8*C61*1/10</f>
        <v>8</v>
      </c>
      <c r="O61" s="73">
        <f>3*C61*1/10</f>
        <v>3</v>
      </c>
      <c r="P61" s="74">
        <f t="shared" si="0"/>
        <v>749</v>
      </c>
    </row>
    <row r="62" spans="1:16" ht="23.25" customHeight="1" x14ac:dyDescent="0.2">
      <c r="A62" s="71">
        <v>60</v>
      </c>
      <c r="B62" s="75" t="s">
        <v>291</v>
      </c>
      <c r="C62" s="73">
        <v>10</v>
      </c>
      <c r="D62" s="73"/>
      <c r="E62" s="73"/>
      <c r="F62" s="73">
        <f>108*C62*1/10</f>
        <v>108</v>
      </c>
      <c r="G62" s="73">
        <f>192*C62*1/10</f>
        <v>192</v>
      </c>
      <c r="H62" s="73">
        <f>93*C62*1/10</f>
        <v>93</v>
      </c>
      <c r="I62" s="73">
        <f>98*C62*1/10</f>
        <v>98</v>
      </c>
      <c r="J62" s="73">
        <f>312*C62*1/10</f>
        <v>312</v>
      </c>
      <c r="K62" s="73">
        <f>30*C62*1/10</f>
        <v>30</v>
      </c>
      <c r="L62" s="73"/>
      <c r="M62" s="73"/>
      <c r="N62" s="73"/>
      <c r="O62" s="73"/>
      <c r="P62" s="74">
        <f t="shared" si="0"/>
        <v>833</v>
      </c>
    </row>
    <row r="63" spans="1:16" ht="23.25" customHeight="1" x14ac:dyDescent="0.2">
      <c r="A63" s="71">
        <v>61</v>
      </c>
      <c r="B63" s="75" t="s">
        <v>292</v>
      </c>
      <c r="C63" s="73">
        <v>10</v>
      </c>
      <c r="D63" s="73"/>
      <c r="E63" s="73"/>
      <c r="F63" s="73"/>
      <c r="G63" s="73"/>
      <c r="H63" s="73"/>
      <c r="I63" s="73"/>
      <c r="J63" s="73"/>
      <c r="K63" s="73">
        <f>243*C63*1/10</f>
        <v>243</v>
      </c>
      <c r="L63" s="73">
        <f>68*C63*1/10</f>
        <v>68</v>
      </c>
      <c r="M63" s="73">
        <f>87*C63*1/10</f>
        <v>87</v>
      </c>
      <c r="N63" s="73">
        <f>312*C63*1/10</f>
        <v>312</v>
      </c>
      <c r="O63" s="73">
        <f>80*C63*1/10</f>
        <v>80</v>
      </c>
      <c r="P63" s="74">
        <f t="shared" si="0"/>
        <v>790</v>
      </c>
    </row>
    <row r="64" spans="1:16" ht="23.25" customHeight="1" x14ac:dyDescent="0.2">
      <c r="A64" s="71">
        <v>62</v>
      </c>
      <c r="B64" s="75" t="s">
        <v>293</v>
      </c>
      <c r="C64" s="73">
        <v>10</v>
      </c>
      <c r="D64" s="73">
        <f>16*C64*1/10</f>
        <v>16</v>
      </c>
      <c r="E64" s="73">
        <f>4*C64*1/10</f>
        <v>4</v>
      </c>
      <c r="F64" s="73">
        <f>22*C64*1/10</f>
        <v>22</v>
      </c>
      <c r="G64" s="73">
        <f>8*C64*1/10</f>
        <v>8</v>
      </c>
      <c r="H64" s="73">
        <f>5*C64*1/10</f>
        <v>5</v>
      </c>
      <c r="I64" s="73">
        <f>10*C64*1/10</f>
        <v>10</v>
      </c>
      <c r="J64" s="73"/>
      <c r="K64" s="73">
        <f>3*C64*1/10</f>
        <v>3</v>
      </c>
      <c r="L64" s="73"/>
      <c r="M64" s="73">
        <f>4*C64*1/10</f>
        <v>4</v>
      </c>
      <c r="N64" s="73">
        <f>18*C64*1/10</f>
        <v>18</v>
      </c>
      <c r="O64" s="73">
        <f>26*C64*1/10</f>
        <v>26</v>
      </c>
      <c r="P64" s="74">
        <f t="shared" si="0"/>
        <v>116</v>
      </c>
    </row>
    <row r="65" spans="1:16" ht="23.25" customHeight="1" x14ac:dyDescent="0.2">
      <c r="A65" s="71"/>
      <c r="B65" s="76" t="s">
        <v>294</v>
      </c>
      <c r="C65" s="73">
        <v>10</v>
      </c>
      <c r="D65" s="73"/>
      <c r="E65" s="73"/>
      <c r="F65" s="73"/>
      <c r="G65" s="73">
        <f>1.8*C65*1/10</f>
        <v>1.8</v>
      </c>
      <c r="H65" s="73">
        <f>10.6*C65*1/10</f>
        <v>10.6</v>
      </c>
      <c r="I65" s="73">
        <f>5.3*C65*1/10</f>
        <v>5.3</v>
      </c>
      <c r="J65" s="73">
        <f>22.8*C65*1/10</f>
        <v>22.8</v>
      </c>
      <c r="K65" s="73">
        <f>22*C65*1/10</f>
        <v>22</v>
      </c>
      <c r="L65" s="73">
        <f>5.8*C65*1/10</f>
        <v>5.8</v>
      </c>
      <c r="M65" s="73"/>
      <c r="N65" s="73"/>
      <c r="O65" s="73"/>
      <c r="P65" s="74">
        <f t="shared" si="0"/>
        <v>68.3</v>
      </c>
    </row>
    <row r="66" spans="1:16" ht="23.25" customHeight="1" x14ac:dyDescent="0.2">
      <c r="A66" s="71">
        <v>63</v>
      </c>
      <c r="B66" s="73" t="s">
        <v>295</v>
      </c>
      <c r="C66" s="73">
        <v>10</v>
      </c>
      <c r="D66" s="73">
        <f>1*C66*1/10</f>
        <v>1</v>
      </c>
      <c r="E66" s="73">
        <f>1*C66*1/10</f>
        <v>1</v>
      </c>
      <c r="F66" s="73">
        <f>24*C66*1/10</f>
        <v>24</v>
      </c>
      <c r="G66" s="73">
        <f>18*C66*1/10</f>
        <v>18</v>
      </c>
      <c r="H66" s="73">
        <f>33*C66*1/10</f>
        <v>33</v>
      </c>
      <c r="I66" s="73">
        <f>37.3*C66*1/10</f>
        <v>37.299999999999997</v>
      </c>
      <c r="J66" s="73">
        <f>42.6*C66*1/10</f>
        <v>42.6</v>
      </c>
      <c r="K66" s="73">
        <f>41.3*C66*1/10</f>
        <v>41.3</v>
      </c>
      <c r="L66" s="73">
        <f>15.3*C66*1/10</f>
        <v>15.3</v>
      </c>
      <c r="M66" s="73">
        <f>3.7*C66*1/10</f>
        <v>3.7</v>
      </c>
      <c r="N66" s="73">
        <f>47*C66*1/10</f>
        <v>47</v>
      </c>
      <c r="O66" s="73">
        <f>12.3*C66*1/10</f>
        <v>12.3</v>
      </c>
      <c r="P66" s="74">
        <f t="shared" si="0"/>
        <v>276.5</v>
      </c>
    </row>
    <row r="67" spans="1:16" ht="23.25" customHeight="1" x14ac:dyDescent="0.2">
      <c r="A67" s="71">
        <v>64</v>
      </c>
      <c r="B67" s="73" t="s">
        <v>296</v>
      </c>
      <c r="C67" s="73">
        <v>10</v>
      </c>
      <c r="D67" s="73">
        <f>1*C67*1/10</f>
        <v>1</v>
      </c>
      <c r="E67" s="73">
        <f>1*C67*1/10</f>
        <v>1</v>
      </c>
      <c r="F67" s="73">
        <f>12*C67*1/10</f>
        <v>12</v>
      </c>
      <c r="G67" s="73">
        <f>29.3*C67*1/10</f>
        <v>29.3</v>
      </c>
      <c r="H67" s="73">
        <f>23.7*C67*1/10</f>
        <v>23.7</v>
      </c>
      <c r="I67" s="73">
        <f>30.7*C67*1/10</f>
        <v>30.7</v>
      </c>
      <c r="J67" s="73">
        <f>49.3*C67*1/10</f>
        <v>49.3</v>
      </c>
      <c r="K67" s="73">
        <f>51.4*C67*1/10</f>
        <v>51.4</v>
      </c>
      <c r="L67" s="73">
        <f>12*C67*1/10</f>
        <v>12</v>
      </c>
      <c r="M67" s="73">
        <f>7*C67*1/10</f>
        <v>7</v>
      </c>
      <c r="N67" s="73">
        <f>42*C67*1/10</f>
        <v>42</v>
      </c>
      <c r="O67" s="73">
        <f>17.3*C67*1/10</f>
        <v>17.3</v>
      </c>
      <c r="P67" s="74">
        <f t="shared" si="0"/>
        <v>276.7</v>
      </c>
    </row>
    <row r="68" spans="1:16" ht="23.25" customHeight="1" x14ac:dyDescent="0.2">
      <c r="A68" s="71">
        <v>65</v>
      </c>
      <c r="B68" s="73" t="s">
        <v>297</v>
      </c>
      <c r="C68" s="73">
        <v>10</v>
      </c>
      <c r="D68" s="73">
        <f>1*C68*1/10</f>
        <v>1</v>
      </c>
      <c r="E68" s="73"/>
      <c r="F68" s="73">
        <f>43*C68*1/10</f>
        <v>43</v>
      </c>
      <c r="G68" s="73">
        <f>17*C68*1/10</f>
        <v>17</v>
      </c>
      <c r="H68" s="73">
        <f>47*C68*1/10</f>
        <v>47</v>
      </c>
      <c r="I68" s="73">
        <f>31*C68*1/10</f>
        <v>31</v>
      </c>
      <c r="J68" s="73">
        <f>27*C68*1/10</f>
        <v>27</v>
      </c>
      <c r="K68" s="73">
        <f>16*C68*1/10</f>
        <v>16</v>
      </c>
      <c r="L68" s="73">
        <f>18*C68*1/10</f>
        <v>18</v>
      </c>
      <c r="M68" s="73"/>
      <c r="N68" s="73">
        <f>25*C68*1/10</f>
        <v>25</v>
      </c>
      <c r="O68" s="73">
        <f>11*C68*1/10</f>
        <v>11</v>
      </c>
      <c r="P68" s="74">
        <f t="shared" ref="P68:P79" si="1">SUM(D68:O68)</f>
        <v>236</v>
      </c>
    </row>
    <row r="69" spans="1:16" ht="23.25" customHeight="1" x14ac:dyDescent="0.2">
      <c r="A69" s="71">
        <v>66</v>
      </c>
      <c r="B69" s="73" t="s">
        <v>298</v>
      </c>
      <c r="C69" s="73">
        <v>10</v>
      </c>
      <c r="D69" s="73">
        <f>2*C69*1/10</f>
        <v>2</v>
      </c>
      <c r="E69" s="73">
        <f>25*C69*1/10</f>
        <v>25</v>
      </c>
      <c r="F69" s="73">
        <f>17*C69*1/10</f>
        <v>17</v>
      </c>
      <c r="G69" s="73">
        <f>11*C69*1/10</f>
        <v>11</v>
      </c>
      <c r="H69" s="73">
        <f>60*C69*1/10</f>
        <v>60</v>
      </c>
      <c r="I69" s="73">
        <f>142*C69*1/10</f>
        <v>142</v>
      </c>
      <c r="J69" s="73">
        <f>39*C69*1/10</f>
        <v>39</v>
      </c>
      <c r="K69" s="73">
        <f>2*C69*1/10</f>
        <v>2</v>
      </c>
      <c r="L69" s="73">
        <f>2*C69*1/10</f>
        <v>2</v>
      </c>
      <c r="M69" s="73">
        <f>1*C69*1/10</f>
        <v>1</v>
      </c>
      <c r="N69" s="73">
        <f>1*C69*1/10</f>
        <v>1</v>
      </c>
      <c r="O69" s="73">
        <f>1*C69*1/10</f>
        <v>1</v>
      </c>
      <c r="P69" s="74">
        <f t="shared" si="1"/>
        <v>303</v>
      </c>
    </row>
    <row r="70" spans="1:16" ht="23.25" customHeight="1" x14ac:dyDescent="0.2">
      <c r="A70" s="71">
        <v>67</v>
      </c>
      <c r="B70" s="73" t="s">
        <v>299</v>
      </c>
      <c r="C70" s="73">
        <v>10</v>
      </c>
      <c r="D70" s="73">
        <f>2*C70*1/10</f>
        <v>2</v>
      </c>
      <c r="E70" s="73">
        <f>17*C70*1/10</f>
        <v>17</v>
      </c>
      <c r="F70" s="73">
        <f>13*C70*1/10</f>
        <v>13</v>
      </c>
      <c r="G70" s="73">
        <f>18*C70*1/10</f>
        <v>18</v>
      </c>
      <c r="H70" s="73">
        <f>37*C70*1/10</f>
        <v>37</v>
      </c>
      <c r="I70" s="73">
        <f>3*C70*1/10</f>
        <v>3</v>
      </c>
      <c r="J70" s="73">
        <f>28*C70*1/10</f>
        <v>28</v>
      </c>
      <c r="K70" s="73">
        <f>4*C70*1/10</f>
        <v>4</v>
      </c>
      <c r="L70" s="73">
        <f>13*C70*1/10</f>
        <v>13</v>
      </c>
      <c r="M70" s="73">
        <f>37*C70*1/10</f>
        <v>37</v>
      </c>
      <c r="N70" s="73">
        <f>1*C70*1/10</f>
        <v>1</v>
      </c>
      <c r="O70" s="73">
        <f>1*C70*1/10</f>
        <v>1</v>
      </c>
      <c r="P70" s="74">
        <f t="shared" si="1"/>
        <v>174</v>
      </c>
    </row>
    <row r="71" spans="1:16" ht="23.25" customHeight="1" x14ac:dyDescent="0.2">
      <c r="A71" s="71">
        <v>68</v>
      </c>
      <c r="B71" s="73" t="s">
        <v>300</v>
      </c>
      <c r="C71" s="73">
        <v>10</v>
      </c>
      <c r="D71" s="73">
        <f>1*C71*1/10</f>
        <v>1</v>
      </c>
      <c r="E71" s="73">
        <f>10*C71*1/10</f>
        <v>10</v>
      </c>
      <c r="F71" s="73">
        <f>21*C71*1/10</f>
        <v>21</v>
      </c>
      <c r="G71" s="73">
        <f>10*C71*1/10</f>
        <v>10</v>
      </c>
      <c r="H71" s="73">
        <f>35*C71*1/10</f>
        <v>35</v>
      </c>
      <c r="I71" s="73">
        <f>2*C71*1/10</f>
        <v>2</v>
      </c>
      <c r="J71" s="73">
        <f>30*C71*1/10</f>
        <v>30</v>
      </c>
      <c r="K71" s="73">
        <f>10*C71*1/10</f>
        <v>10</v>
      </c>
      <c r="L71" s="73">
        <f>1*C71*1/10</f>
        <v>1</v>
      </c>
      <c r="M71" s="73">
        <f>40*C71*1/10</f>
        <v>40</v>
      </c>
      <c r="N71" s="73">
        <f>45*C71*1/10</f>
        <v>45</v>
      </c>
      <c r="O71" s="73">
        <f>1*C71*1/10</f>
        <v>1</v>
      </c>
      <c r="P71" s="74">
        <f t="shared" si="1"/>
        <v>206</v>
      </c>
    </row>
    <row r="72" spans="1:16" ht="23.25" customHeight="1" x14ac:dyDescent="0.2">
      <c r="A72" s="71">
        <v>69</v>
      </c>
      <c r="B72" s="73" t="s">
        <v>301</v>
      </c>
      <c r="C72" s="73">
        <v>1</v>
      </c>
      <c r="D72" s="73">
        <f>6.2*C72</f>
        <v>6.2</v>
      </c>
      <c r="E72" s="73">
        <f>5.6*C72</f>
        <v>5.6</v>
      </c>
      <c r="F72" s="73">
        <f>8.5*C72</f>
        <v>8.5</v>
      </c>
      <c r="G72" s="73">
        <f>7.5*C72</f>
        <v>7.5</v>
      </c>
      <c r="H72" s="73">
        <f>5.7*C72</f>
        <v>5.7</v>
      </c>
      <c r="I72" s="73">
        <f>5.3*C72</f>
        <v>5.3</v>
      </c>
      <c r="J72" s="73">
        <f>5.4*C72</f>
        <v>5.4</v>
      </c>
      <c r="K72" s="73">
        <f>5.4*C72</f>
        <v>5.4</v>
      </c>
      <c r="L72" s="73">
        <f>5.3*C72</f>
        <v>5.3</v>
      </c>
      <c r="M72" s="73">
        <f>5.9*C72</f>
        <v>5.9</v>
      </c>
      <c r="N72" s="73">
        <f>6*C72</f>
        <v>6</v>
      </c>
      <c r="O72" s="73">
        <f>5.4*C72</f>
        <v>5.4</v>
      </c>
      <c r="P72" s="74">
        <f t="shared" si="1"/>
        <v>72.199999999999989</v>
      </c>
    </row>
    <row r="73" spans="1:16" ht="23.25" customHeight="1" x14ac:dyDescent="0.2">
      <c r="A73" s="71">
        <v>70</v>
      </c>
      <c r="B73" s="73" t="s">
        <v>302</v>
      </c>
      <c r="C73" s="73">
        <v>1</v>
      </c>
      <c r="D73" s="73">
        <f>2.1*C73</f>
        <v>2.1</v>
      </c>
      <c r="E73" s="73">
        <f>1.9*C73</f>
        <v>1.9</v>
      </c>
      <c r="F73" s="73">
        <f>2.2*C73</f>
        <v>2.2000000000000002</v>
      </c>
      <c r="G73" s="73">
        <f>2.2*C73</f>
        <v>2.2000000000000002</v>
      </c>
      <c r="H73" s="73">
        <f>2.1*C73</f>
        <v>2.1</v>
      </c>
      <c r="I73" s="73">
        <f>2*C73</f>
        <v>2</v>
      </c>
      <c r="J73" s="73">
        <f>2.1*C73</f>
        <v>2.1</v>
      </c>
      <c r="K73" s="73">
        <f>2.1*C73</f>
        <v>2.1</v>
      </c>
      <c r="L73" s="73">
        <f>2*C73</f>
        <v>2</v>
      </c>
      <c r="M73" s="73">
        <f>2.2*C73</f>
        <v>2.2000000000000002</v>
      </c>
      <c r="N73" s="73">
        <f>2.2*C73</f>
        <v>2.2000000000000002</v>
      </c>
      <c r="O73" s="73">
        <f>2.1*C73</f>
        <v>2.1</v>
      </c>
      <c r="P73" s="74">
        <f t="shared" si="1"/>
        <v>25.2</v>
      </c>
    </row>
    <row r="74" spans="1:16" ht="23.25" customHeight="1" x14ac:dyDescent="0.2">
      <c r="A74" s="71">
        <v>71</v>
      </c>
      <c r="B74" s="73" t="s">
        <v>303</v>
      </c>
      <c r="C74" s="73">
        <v>1</v>
      </c>
      <c r="D74" s="73">
        <f>6.2*C74</f>
        <v>6.2</v>
      </c>
      <c r="E74" s="73">
        <f>5.6*C74</f>
        <v>5.6</v>
      </c>
      <c r="F74" s="73">
        <f>8*C74</f>
        <v>8</v>
      </c>
      <c r="G74" s="73">
        <f>9*C74</f>
        <v>9</v>
      </c>
      <c r="H74" s="73">
        <f>5.1*C74</f>
        <v>5.0999999999999996</v>
      </c>
      <c r="I74" s="73">
        <f>4.5*C74</f>
        <v>4.5</v>
      </c>
      <c r="J74" s="73">
        <f>4.7*C74</f>
        <v>4.7</v>
      </c>
      <c r="K74" s="73">
        <f>4.7*C74</f>
        <v>4.7</v>
      </c>
      <c r="L74" s="73">
        <f>4.5*C74</f>
        <v>4.5</v>
      </c>
      <c r="M74" s="73">
        <f>8.1*C74</f>
        <v>8.1</v>
      </c>
      <c r="N74" s="73">
        <f>8.7*C74</f>
        <v>8.6999999999999993</v>
      </c>
      <c r="O74" s="73">
        <f>7.2*C74</f>
        <v>7.2</v>
      </c>
      <c r="P74" s="74">
        <f t="shared" si="1"/>
        <v>76.300000000000011</v>
      </c>
    </row>
    <row r="75" spans="1:16" ht="23.25" customHeight="1" x14ac:dyDescent="0.2">
      <c r="A75" s="71">
        <v>72</v>
      </c>
      <c r="B75" s="73" t="s">
        <v>304</v>
      </c>
      <c r="C75" s="73">
        <v>1</v>
      </c>
      <c r="D75" s="73">
        <f>4.3*C75</f>
        <v>4.3</v>
      </c>
      <c r="E75" s="73">
        <f>3.9*C75</f>
        <v>3.9</v>
      </c>
      <c r="F75" s="73">
        <f>5.6*C75</f>
        <v>5.6</v>
      </c>
      <c r="G75" s="73">
        <f>6.3*C75</f>
        <v>6.3</v>
      </c>
      <c r="H75" s="73">
        <f>3.6*C75</f>
        <v>3.6</v>
      </c>
      <c r="I75" s="73">
        <f>3.2*C75</f>
        <v>3.2</v>
      </c>
      <c r="J75" s="73">
        <f>3.3*C75</f>
        <v>3.3</v>
      </c>
      <c r="K75" s="73">
        <f>3.3*C75</f>
        <v>3.3</v>
      </c>
      <c r="L75" s="73">
        <f>3.2*C75</f>
        <v>3.2</v>
      </c>
      <c r="M75" s="73">
        <f>5.7*C75</f>
        <v>5.7</v>
      </c>
      <c r="N75" s="73">
        <f>6.1*C75</f>
        <v>6.1</v>
      </c>
      <c r="O75" s="73">
        <f>5.1*C75</f>
        <v>5.0999999999999996</v>
      </c>
      <c r="P75" s="74">
        <f t="shared" si="1"/>
        <v>53.600000000000009</v>
      </c>
    </row>
    <row r="76" spans="1:16" ht="23.25" customHeight="1" x14ac:dyDescent="0.2">
      <c r="A76" s="71">
        <v>73</v>
      </c>
      <c r="B76" s="73" t="s">
        <v>305</v>
      </c>
      <c r="C76" s="73">
        <v>1</v>
      </c>
      <c r="D76" s="73">
        <f>3.1*C76</f>
        <v>3.1</v>
      </c>
      <c r="E76" s="73">
        <f>2.9*C76</f>
        <v>2.9</v>
      </c>
      <c r="F76" s="73">
        <f>3.1*C76</f>
        <v>3.1</v>
      </c>
      <c r="G76" s="73">
        <f>3*C76</f>
        <v>3</v>
      </c>
      <c r="H76" s="73">
        <f>3.1*C76</f>
        <v>3.1</v>
      </c>
      <c r="I76" s="73">
        <f>3*C76</f>
        <v>3</v>
      </c>
      <c r="J76" s="73">
        <f>3.1*C76</f>
        <v>3.1</v>
      </c>
      <c r="K76" s="73">
        <f>3.1*C76</f>
        <v>3.1</v>
      </c>
      <c r="L76" s="73">
        <f>3*C76</f>
        <v>3</v>
      </c>
      <c r="M76" s="73">
        <f>3.1*C76</f>
        <v>3.1</v>
      </c>
      <c r="N76" s="73">
        <f>3*C76</f>
        <v>3</v>
      </c>
      <c r="O76" s="73">
        <f>3.1*C76</f>
        <v>3.1</v>
      </c>
      <c r="P76" s="74">
        <f t="shared" si="1"/>
        <v>36.6</v>
      </c>
    </row>
    <row r="77" spans="1:16" ht="23.25" customHeight="1" x14ac:dyDescent="0.2">
      <c r="A77" s="71">
        <v>74</v>
      </c>
      <c r="B77" s="73" t="s">
        <v>306</v>
      </c>
      <c r="C77" s="73">
        <v>10</v>
      </c>
      <c r="D77" s="73"/>
      <c r="E77" s="73"/>
      <c r="F77" s="73"/>
      <c r="G77" s="73">
        <f>0.5*C77*1/10</f>
        <v>0.5</v>
      </c>
      <c r="H77" s="73">
        <f>0.8*C77*1/10</f>
        <v>0.8</v>
      </c>
      <c r="I77" s="73">
        <f>1.5*C77*1/10</f>
        <v>1.5</v>
      </c>
      <c r="J77" s="73">
        <f>1.4*C77*1/10</f>
        <v>1.4</v>
      </c>
      <c r="K77" s="73">
        <f>1.6*C77*1/10</f>
        <v>1.6</v>
      </c>
      <c r="L77" s="73">
        <f>0.3*C77*1/10</f>
        <v>0.3</v>
      </c>
      <c r="M77" s="73">
        <f>0.6*C77*1/10</f>
        <v>0.6</v>
      </c>
      <c r="N77" s="73">
        <f>0.8*C77*1/10</f>
        <v>0.8</v>
      </c>
      <c r="O77" s="73"/>
      <c r="P77" s="74">
        <f t="shared" si="1"/>
        <v>7.4999999999999982</v>
      </c>
    </row>
    <row r="78" spans="1:16" ht="23.25" customHeight="1" x14ac:dyDescent="0.2">
      <c r="A78" s="71">
        <v>75</v>
      </c>
      <c r="B78" s="73" t="s">
        <v>307</v>
      </c>
      <c r="C78" s="73">
        <v>10</v>
      </c>
      <c r="D78" s="73"/>
      <c r="E78" s="73"/>
      <c r="F78" s="73"/>
      <c r="G78" s="73">
        <f>2.1*C78*1/10</f>
        <v>2.1</v>
      </c>
      <c r="H78" s="73">
        <f>2.6*C78*1/10</f>
        <v>2.6</v>
      </c>
      <c r="I78" s="73"/>
      <c r="J78" s="73"/>
      <c r="K78" s="73">
        <f>2*C78*1/10</f>
        <v>2</v>
      </c>
      <c r="L78" s="73">
        <f>4.1*C78*1/10</f>
        <v>4.0999999999999996</v>
      </c>
      <c r="M78" s="73"/>
      <c r="N78" s="73"/>
      <c r="O78" s="73"/>
      <c r="P78" s="74">
        <f t="shared" si="1"/>
        <v>10.8</v>
      </c>
    </row>
    <row r="79" spans="1:16" ht="23.25" customHeight="1" x14ac:dyDescent="0.2">
      <c r="A79" s="71">
        <v>76</v>
      </c>
      <c r="B79" s="73" t="s">
        <v>308</v>
      </c>
      <c r="C79" s="73">
        <v>10</v>
      </c>
      <c r="D79" s="73"/>
      <c r="E79" s="73"/>
      <c r="F79" s="73">
        <f>0.1*C79*1/10</f>
        <v>0.1</v>
      </c>
      <c r="G79" s="73">
        <f>3.2*C79*1/10</f>
        <v>3.2</v>
      </c>
      <c r="H79" s="73">
        <f>3.6*C79*1/10</f>
        <v>3.6</v>
      </c>
      <c r="I79" s="73">
        <f>1.2*C79*1/10</f>
        <v>1.2</v>
      </c>
      <c r="J79" s="73">
        <f>1.2*C79*1/10</f>
        <v>1.2</v>
      </c>
      <c r="K79" s="73"/>
      <c r="L79" s="73">
        <f>1.2*C79*1/10</f>
        <v>1.2</v>
      </c>
      <c r="M79" s="73"/>
      <c r="N79" s="73"/>
      <c r="O79" s="73"/>
      <c r="P79" s="74">
        <f t="shared" si="1"/>
        <v>10.499999999999998</v>
      </c>
    </row>
    <row r="80" spans="1:16" ht="23.25" customHeight="1" x14ac:dyDescent="0.2">
      <c r="A80" s="71">
        <v>77</v>
      </c>
      <c r="B80" s="75" t="s">
        <v>309</v>
      </c>
      <c r="C80" s="73">
        <v>1</v>
      </c>
      <c r="D80" s="73">
        <f>130*C80</f>
        <v>130</v>
      </c>
      <c r="E80" s="73">
        <f>135*C80</f>
        <v>135</v>
      </c>
      <c r="F80" s="73">
        <f>135*C80</f>
        <v>135</v>
      </c>
      <c r="G80" s="73">
        <f>105*C80</f>
        <v>105</v>
      </c>
      <c r="H80" s="73">
        <f>85*C80</f>
        <v>85</v>
      </c>
      <c r="I80" s="73">
        <f>24*C80</f>
        <v>24</v>
      </c>
      <c r="J80" s="73">
        <f>24*C80</f>
        <v>24</v>
      </c>
      <c r="K80" s="73">
        <f>24*C80</f>
        <v>24</v>
      </c>
      <c r="L80" s="73">
        <f>24*C80</f>
        <v>24</v>
      </c>
      <c r="M80" s="73">
        <f>81*C80</f>
        <v>81</v>
      </c>
      <c r="N80" s="73">
        <f>120*C80</f>
        <v>120</v>
      </c>
      <c r="O80" s="73">
        <f>115*C80</f>
        <v>115</v>
      </c>
      <c r="P80" s="74">
        <f>SUM(D80:O80)</f>
        <v>1002</v>
      </c>
    </row>
    <row r="81" spans="1:16" ht="23.25" customHeight="1" x14ac:dyDescent="0.2">
      <c r="A81" s="71">
        <v>78</v>
      </c>
      <c r="B81" s="75" t="s">
        <v>310</v>
      </c>
      <c r="C81" s="73">
        <v>10</v>
      </c>
      <c r="D81" s="73">
        <f>41*C81*1/10</f>
        <v>41</v>
      </c>
      <c r="E81" s="73">
        <f>45*C81*1/10</f>
        <v>45</v>
      </c>
      <c r="F81" s="73">
        <f>30.5*C81*1/10</f>
        <v>30.5</v>
      </c>
      <c r="G81" s="73">
        <f>7*C81*1/10</f>
        <v>7</v>
      </c>
      <c r="H81" s="73">
        <f>5.5*C81*1/10</f>
        <v>5.5</v>
      </c>
      <c r="I81" s="73">
        <f>25.5*C81*1/10</f>
        <v>25.5</v>
      </c>
      <c r="J81" s="73">
        <f>27*C81*1/10</f>
        <v>27</v>
      </c>
      <c r="K81" s="73">
        <f>27*C81*1/10</f>
        <v>27</v>
      </c>
      <c r="L81" s="73">
        <f>11*C81*1/10</f>
        <v>11</v>
      </c>
      <c r="M81" s="73">
        <f>4*C81*1/10</f>
        <v>4</v>
      </c>
      <c r="N81" s="73">
        <f>21.5*C81*1/10</f>
        <v>21.5</v>
      </c>
      <c r="O81" s="73">
        <f>27.5*C81*1/10</f>
        <v>27.5</v>
      </c>
      <c r="P81" s="74">
        <f>SUM(D81:O81)</f>
        <v>272.5</v>
      </c>
    </row>
    <row r="82" spans="1:16" ht="23.25" customHeight="1" x14ac:dyDescent="0.2">
      <c r="A82" s="77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9"/>
    </row>
  </sheetData>
  <mergeCells count="1">
    <mergeCell ref="A1:J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簡易版</vt:lpstr>
      <vt:lpstr>添付資料</vt:lpstr>
      <vt:lpstr>動態表</vt:lpstr>
      <vt:lpstr>労働時間</vt:lpstr>
      <vt:lpstr>簡易版!Print_Area</vt:lpstr>
      <vt:lpstr>添付資料!Print_Area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creator>enyateruo</dc:creator>
  <cp:lastModifiedBy>早見　博幸</cp:lastModifiedBy>
  <cp:lastPrinted>2024-07-04T05:10:57Z</cp:lastPrinted>
  <dcterms:created xsi:type="dcterms:W3CDTF">2019-05-31T06:51:33Z</dcterms:created>
  <dcterms:modified xsi:type="dcterms:W3CDTF">2025-09-09T05:11:06Z</dcterms:modified>
</cp:coreProperties>
</file>